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25140" windowHeight="1222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2" l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G65" i="2"/>
  <c r="H65" i="2"/>
  <c r="G66" i="2"/>
  <c r="H66" i="2"/>
  <c r="H67" i="2"/>
  <c r="H68" i="2"/>
  <c r="G69" i="2"/>
  <c r="H69" i="2"/>
  <c r="G70" i="2"/>
  <c r="H70" i="2"/>
  <c r="H71" i="2"/>
  <c r="H72" i="2"/>
  <c r="H73" i="2"/>
  <c r="G74" i="2"/>
  <c r="H74" i="2" s="1"/>
  <c r="H75" i="2"/>
  <c r="H76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H84" i="2"/>
  <c r="H85" i="2"/>
  <c r="H86" i="2"/>
  <c r="G87" i="2"/>
  <c r="H87" i="2" s="1"/>
  <c r="G88" i="2"/>
  <c r="H88" i="2" s="1"/>
  <c r="H89" i="2"/>
  <c r="G90" i="2"/>
  <c r="H90" i="2"/>
  <c r="G91" i="2"/>
  <c r="H91" i="2"/>
  <c r="H92" i="2"/>
  <c r="G93" i="2"/>
  <c r="H93" i="2" s="1"/>
  <c r="G94" i="2"/>
  <c r="H94" i="2" s="1"/>
  <c r="H95" i="2"/>
  <c r="G96" i="2"/>
  <c r="H96" i="2"/>
  <c r="H97" i="2"/>
  <c r="H98" i="2"/>
  <c r="G99" i="2"/>
  <c r="H99" i="2"/>
  <c r="G100" i="2"/>
  <c r="H100" i="2"/>
  <c r="G101" i="2"/>
  <c r="H101" i="2"/>
  <c r="H102" i="2"/>
  <c r="G103" i="2"/>
  <c r="H103" i="2" s="1"/>
  <c r="G104" i="2"/>
  <c r="H104" i="2" s="1"/>
  <c r="H105" i="2"/>
  <c r="H106" i="2"/>
  <c r="H107" i="2"/>
  <c r="G108" i="2"/>
  <c r="H108" i="2"/>
  <c r="H109" i="2"/>
  <c r="G110" i="2"/>
  <c r="H110" i="2" s="1"/>
  <c r="G111" i="2"/>
  <c r="H111" i="2" s="1"/>
  <c r="G112" i="2"/>
  <c r="H112" i="2" s="1"/>
  <c r="G113" i="2"/>
  <c r="H113" i="2" s="1"/>
  <c r="G114" i="2"/>
  <c r="H114" i="2" s="1"/>
  <c r="H115" i="2"/>
  <c r="G116" i="2"/>
  <c r="H116" i="2"/>
  <c r="G117" i="2"/>
  <c r="H117" i="2"/>
  <c r="H118" i="2"/>
  <c r="H119" i="2"/>
  <c r="G120" i="2"/>
  <c r="H120" i="2"/>
  <c r="G121" i="2"/>
  <c r="H121" i="2"/>
  <c r="G122" i="2"/>
  <c r="H122" i="2"/>
  <c r="G123" i="2"/>
  <c r="H123" i="2"/>
  <c r="H124" i="2"/>
  <c r="H125" i="2"/>
  <c r="G126" i="2"/>
  <c r="H126" i="2"/>
  <c r="H127" i="2"/>
  <c r="G128" i="2"/>
  <c r="H128" i="2" s="1"/>
  <c r="H129" i="2"/>
  <c r="H130" i="2"/>
  <c r="H131" i="2"/>
  <c r="H132" i="2"/>
  <c r="H133" i="2"/>
  <c r="G134" i="2"/>
  <c r="H134" i="2"/>
  <c r="G135" i="2"/>
  <c r="H135" i="2"/>
  <c r="H136" i="2"/>
  <c r="G137" i="2"/>
  <c r="H137" i="2" s="1"/>
  <c r="G138" i="2"/>
  <c r="H138" i="2" s="1"/>
  <c r="G139" i="2"/>
  <c r="H139" i="2" s="1"/>
  <c r="G140" i="2"/>
  <c r="H140" i="2" s="1"/>
  <c r="H141" i="2"/>
  <c r="H142" i="2"/>
  <c r="H143" i="2"/>
  <c r="G144" i="2"/>
  <c r="H144" i="2"/>
  <c r="G145" i="2"/>
  <c r="H145" i="2"/>
  <c r="H146" i="2"/>
  <c r="H147" i="2"/>
  <c r="G148" i="2"/>
  <c r="H148" i="2"/>
  <c r="G149" i="2"/>
  <c r="H149" i="2"/>
  <c r="G150" i="2"/>
  <c r="H150" i="2"/>
  <c r="H151" i="2"/>
  <c r="G152" i="2"/>
  <c r="H152" i="2" s="1"/>
  <c r="H153" i="2"/>
  <c r="G154" i="2"/>
  <c r="H154" i="2"/>
  <c r="H155" i="2"/>
  <c r="H156" i="2"/>
  <c r="G157" i="2"/>
  <c r="H157" i="2"/>
  <c r="H158" i="2"/>
  <c r="H159" i="2"/>
  <c r="H160" i="2"/>
  <c r="H161" i="2"/>
  <c r="H162" i="2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169" i="2"/>
  <c r="H169" i="2" s="1"/>
  <c r="H170" i="2"/>
  <c r="G171" i="2"/>
  <c r="H171" i="2"/>
  <c r="G172" i="2"/>
  <c r="H172" i="2"/>
  <c r="H173" i="2"/>
  <c r="G174" i="2"/>
  <c r="H174" i="2" s="1"/>
  <c r="G175" i="2"/>
  <c r="H175" i="2" s="1"/>
  <c r="G176" i="2"/>
  <c r="H176" i="2" s="1"/>
  <c r="G177" i="2"/>
  <c r="H177" i="2" s="1"/>
  <c r="G178" i="2"/>
  <c r="H178" i="2" s="1"/>
  <c r="G179" i="2"/>
  <c r="H179" i="2" s="1"/>
  <c r="H180" i="2"/>
  <c r="H181" i="2"/>
  <c r="H182" i="2"/>
  <c r="H183" i="2"/>
  <c r="G184" i="2"/>
  <c r="H184" i="2" s="1"/>
  <c r="G185" i="2"/>
  <c r="H185" i="2" s="1"/>
  <c r="G186" i="2"/>
  <c r="H186" i="2" s="1"/>
  <c r="G187" i="2"/>
  <c r="H187" i="2" s="1"/>
  <c r="H188" i="2"/>
  <c r="H189" i="2"/>
  <c r="G190" i="2"/>
  <c r="H190" i="2" s="1"/>
  <c r="H191" i="2"/>
  <c r="G192" i="2"/>
  <c r="H192" i="2"/>
  <c r="G193" i="2"/>
  <c r="H193" i="2"/>
  <c r="H194" i="2"/>
  <c r="G195" i="2"/>
  <c r="H195" i="2" s="1"/>
  <c r="G196" i="2"/>
  <c r="H196" i="2" s="1"/>
  <c r="G197" i="2"/>
  <c r="H197" i="2" s="1"/>
  <c r="G198" i="2"/>
  <c r="H198" i="2" s="1"/>
  <c r="G199" i="2"/>
  <c r="H199" i="2" s="1"/>
  <c r="H200" i="2"/>
  <c r="G201" i="2"/>
  <c r="H201" i="2"/>
  <c r="H202" i="2"/>
  <c r="H203" i="2"/>
  <c r="H204" i="2"/>
  <c r="G205" i="2"/>
  <c r="H205" i="2" s="1"/>
  <c r="G206" i="2"/>
  <c r="H206" i="2" s="1"/>
  <c r="G207" i="2"/>
  <c r="H207" i="2" s="1"/>
  <c r="G208" i="2"/>
  <c r="H208" i="2" s="1"/>
  <c r="H209" i="2"/>
  <c r="G210" i="2"/>
  <c r="H210" i="2"/>
  <c r="H211" i="2"/>
  <c r="H212" i="2"/>
  <c r="H213" i="2"/>
  <c r="G214" i="2"/>
  <c r="H214" i="2" s="1"/>
  <c r="G215" i="2"/>
  <c r="H215" i="2" s="1"/>
  <c r="G216" i="2"/>
  <c r="H216" i="2" s="1"/>
  <c r="G217" i="2"/>
  <c r="H217" i="2" s="1"/>
  <c r="G218" i="2"/>
  <c r="H218" i="2" s="1"/>
  <c r="H219" i="2"/>
  <c r="H220" i="2"/>
  <c r="H221" i="2"/>
  <c r="G222" i="2"/>
  <c r="H222" i="2"/>
  <c r="H223" i="2"/>
  <c r="G224" i="2"/>
  <c r="H224" i="2" s="1"/>
  <c r="G225" i="2"/>
  <c r="H225" i="2" s="1"/>
  <c r="G226" i="2"/>
  <c r="H226" i="2" s="1"/>
  <c r="G227" i="2"/>
  <c r="H227" i="2" s="1"/>
  <c r="G228" i="2"/>
  <c r="H228" i="2" s="1"/>
  <c r="G229" i="2"/>
  <c r="H229" i="2" s="1"/>
  <c r="H230" i="2"/>
  <c r="H231" i="2"/>
  <c r="H232" i="2"/>
  <c r="H233" i="2"/>
  <c r="G234" i="2"/>
  <c r="H234" i="2" s="1"/>
  <c r="H235" i="2"/>
  <c r="H236" i="2"/>
  <c r="G237" i="2"/>
  <c r="H237" i="2" s="1"/>
  <c r="H238" i="2"/>
  <c r="G239" i="2"/>
  <c r="H239" i="2"/>
  <c r="H240" i="2"/>
  <c r="H241" i="2"/>
  <c r="G242" i="2"/>
  <c r="H242" i="2"/>
  <c r="G243" i="2"/>
  <c r="H243" i="2"/>
  <c r="H244" i="2"/>
  <c r="G245" i="2"/>
  <c r="H245" i="2" s="1"/>
  <c r="G246" i="2"/>
  <c r="H246" i="2" s="1"/>
  <c r="G247" i="2"/>
  <c r="H247" i="2" s="1"/>
  <c r="H248" i="2"/>
  <c r="G249" i="2"/>
  <c r="H249" i="2"/>
  <c r="H250" i="2"/>
  <c r="H251" i="2"/>
  <c r="H252" i="2"/>
  <c r="H253" i="2"/>
  <c r="H254" i="2"/>
  <c r="H255" i="2"/>
  <c r="H256" i="2"/>
  <c r="G257" i="2"/>
  <c r="H257" i="2" s="1"/>
  <c r="H258" i="2"/>
  <c r="G259" i="2"/>
  <c r="H259" i="2"/>
  <c r="G260" i="2"/>
  <c r="H260" i="2"/>
  <c r="G261" i="2"/>
  <c r="H261" i="2"/>
  <c r="H262" i="2"/>
  <c r="H263" i="2"/>
  <c r="G264" i="2"/>
  <c r="H264" i="2"/>
  <c r="G265" i="2"/>
  <c r="H265" i="2"/>
  <c r="G266" i="2"/>
  <c r="H266" i="2"/>
  <c r="H267" i="2"/>
  <c r="G268" i="2"/>
  <c r="H268" i="2" s="1"/>
  <c r="G269" i="2"/>
  <c r="H269" i="2" s="1"/>
  <c r="G270" i="2"/>
  <c r="H270" i="2" s="1"/>
  <c r="H271" i="2"/>
  <c r="G272" i="2"/>
  <c r="H272" i="2"/>
  <c r="G273" i="2"/>
  <c r="H273" i="2"/>
  <c r="H274" i="2"/>
  <c r="H275" i="2"/>
  <c r="H276" i="2"/>
  <c r="G277" i="2"/>
  <c r="H277" i="2" s="1"/>
  <c r="G278" i="2"/>
  <c r="H278" i="2" s="1"/>
  <c r="G279" i="2"/>
  <c r="H279" i="2" s="1"/>
  <c r="H280" i="2"/>
  <c r="G281" i="2"/>
  <c r="H281" i="2"/>
  <c r="G282" i="2"/>
  <c r="H282" i="2"/>
  <c r="H283" i="2"/>
  <c r="H284" i="2"/>
  <c r="G285" i="2"/>
  <c r="H285" i="2"/>
  <c r="G286" i="2"/>
  <c r="H286" i="2"/>
  <c r="G287" i="2"/>
  <c r="H287" i="2"/>
  <c r="H288" i="2"/>
  <c r="G289" i="2"/>
  <c r="H289" i="2" s="1"/>
  <c r="G290" i="2"/>
  <c r="H290" i="2" s="1"/>
  <c r="G291" i="2"/>
  <c r="H291" i="2" s="1"/>
  <c r="G292" i="2"/>
  <c r="H292" i="2" s="1"/>
  <c r="G293" i="2"/>
  <c r="H293" i="2" s="1"/>
  <c r="H294" i="2"/>
  <c r="G295" i="2"/>
  <c r="H295" i="2"/>
  <c r="G296" i="2"/>
  <c r="H296" i="2"/>
  <c r="H297" i="2"/>
  <c r="G298" i="2"/>
  <c r="H298" i="2" s="1"/>
  <c r="G299" i="2"/>
  <c r="H299" i="2" s="1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H308" i="2"/>
  <c r="G309" i="2"/>
  <c r="H309" i="2" s="1"/>
  <c r="G310" i="2"/>
  <c r="H310" i="2" s="1"/>
  <c r="G311" i="2"/>
  <c r="H311" i="2" s="1"/>
  <c r="G312" i="2"/>
  <c r="H312" i="2" s="1"/>
  <c r="G313" i="2"/>
  <c r="H313" i="2" s="1"/>
  <c r="H314" i="2"/>
  <c r="H315" i="2"/>
  <c r="H316" i="2"/>
  <c r="H317" i="2"/>
  <c r="H318" i="2"/>
  <c r="G319" i="2"/>
  <c r="H319" i="2"/>
  <c r="H320" i="2"/>
  <c r="G321" i="2"/>
  <c r="H321" i="2" s="1"/>
  <c r="H322" i="2"/>
  <c r="G323" i="2"/>
  <c r="H323" i="2"/>
  <c r="H324" i="2"/>
  <c r="G325" i="2"/>
  <c r="H325" i="2" s="1"/>
  <c r="H326" i="2"/>
  <c r="H327" i="2"/>
  <c r="G328" i="2"/>
  <c r="H328" i="2" s="1"/>
  <c r="H329" i="2"/>
  <c r="G330" i="2"/>
  <c r="H330" i="2"/>
  <c r="H331" i="2"/>
  <c r="H332" i="2"/>
  <c r="H333" i="2"/>
  <c r="G334" i="2"/>
  <c r="H334" i="2" s="1"/>
  <c r="G335" i="2"/>
  <c r="H335" i="2" s="1"/>
  <c r="H336" i="2"/>
  <c r="H337" i="2"/>
  <c r="G338" i="2"/>
  <c r="H338" i="2" s="1"/>
  <c r="G339" i="2"/>
  <c r="H339" i="2" s="1"/>
  <c r="H340" i="2"/>
  <c r="H341" i="2"/>
  <c r="G342" i="2"/>
  <c r="H342" i="2" s="1"/>
  <c r="G343" i="2"/>
  <c r="H343" i="2" s="1"/>
  <c r="H344" i="2"/>
  <c r="G345" i="2"/>
  <c r="H345" i="2"/>
  <c r="H346" i="2"/>
  <c r="G347" i="2"/>
  <c r="H347" i="2" s="1"/>
  <c r="G348" i="2"/>
  <c r="H348" i="2" s="1"/>
  <c r="G349" i="2"/>
  <c r="H349" i="2" s="1"/>
  <c r="G350" i="2"/>
  <c r="H350" i="2" s="1"/>
  <c r="G351" i="2"/>
  <c r="H351" i="2" s="1"/>
  <c r="H352" i="2"/>
  <c r="G353" i="2"/>
  <c r="H353" i="2"/>
  <c r="H354" i="2"/>
  <c r="H355" i="2"/>
  <c r="G356" i="2"/>
  <c r="H356" i="2"/>
  <c r="G357" i="2"/>
  <c r="H357" i="2"/>
  <c r="H358" i="2"/>
  <c r="G359" i="2"/>
  <c r="H359" i="2" s="1"/>
  <c r="G360" i="2"/>
  <c r="H360" i="2" s="1"/>
  <c r="G361" i="2"/>
  <c r="H361" i="2" s="1"/>
  <c r="G362" i="2"/>
  <c r="H362" i="2" s="1"/>
  <c r="G363" i="2"/>
  <c r="H363" i="2" s="1"/>
  <c r="H364" i="2"/>
  <c r="H365" i="2"/>
  <c r="G366" i="2"/>
  <c r="H366" i="2" s="1"/>
  <c r="H367" i="2"/>
  <c r="H368" i="2"/>
  <c r="G369" i="2"/>
  <c r="H369" i="2" s="1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H382" i="2"/>
  <c r="G383" i="2"/>
  <c r="H383" i="2" s="1"/>
  <c r="G384" i="2"/>
  <c r="H384" i="2" s="1"/>
  <c r="G385" i="2"/>
  <c r="H385" i="2" s="1"/>
  <c r="H386" i="2"/>
  <c r="H387" i="2"/>
  <c r="G388" i="2"/>
  <c r="H388" i="2" s="1"/>
  <c r="G389" i="2"/>
  <c r="H389" i="2" s="1"/>
  <c r="H390" i="2"/>
  <c r="H391" i="2"/>
  <c r="G392" i="2"/>
  <c r="H392" i="2" s="1"/>
  <c r="G393" i="2"/>
  <c r="H393" i="2" s="1"/>
  <c r="H394" i="2"/>
  <c r="H395" i="2"/>
  <c r="H396" i="2"/>
  <c r="G397" i="2"/>
  <c r="H397" i="2"/>
  <c r="H398" i="2"/>
  <c r="H399" i="2"/>
  <c r="G400" i="2"/>
  <c r="H400" i="2"/>
  <c r="G401" i="2"/>
  <c r="H401" i="2"/>
  <c r="G402" i="2"/>
  <c r="H402" i="2"/>
  <c r="G403" i="2"/>
  <c r="H403" i="2"/>
  <c r="G404" i="2"/>
  <c r="H404" i="2"/>
  <c r="H405" i="2"/>
  <c r="H406" i="2"/>
  <c r="H407" i="2"/>
  <c r="G408" i="2"/>
  <c r="H408" i="2" s="1"/>
  <c r="H409" i="2"/>
  <c r="G410" i="2"/>
  <c r="H410" i="2"/>
  <c r="H411" i="2"/>
  <c r="H412" i="2"/>
  <c r="G413" i="2"/>
  <c r="H413" i="2"/>
  <c r="H414" i="2"/>
  <c r="H415" i="2"/>
  <c r="H416" i="2"/>
  <c r="H417" i="2"/>
  <c r="G418" i="2"/>
  <c r="H418" i="2"/>
  <c r="H419" i="2"/>
  <c r="G420" i="2"/>
  <c r="H420" i="2" s="1"/>
  <c r="G421" i="2"/>
  <c r="H421" i="2" s="1"/>
  <c r="H422" i="2"/>
  <c r="H423" i="2"/>
  <c r="H424" i="2"/>
  <c r="G425" i="2"/>
  <c r="H425" i="2"/>
  <c r="H426" i="2"/>
  <c r="H427" i="2"/>
  <c r="H428" i="2"/>
  <c r="G429" i="2"/>
  <c r="H429" i="2" s="1"/>
  <c r="G430" i="2"/>
  <c r="H430" i="2" s="1"/>
  <c r="G431" i="2"/>
  <c r="H431" i="2" s="1"/>
  <c r="H432" i="2"/>
  <c r="G433" i="2"/>
  <c r="H433" i="2"/>
  <c r="G434" i="2"/>
  <c r="H434" i="2"/>
  <c r="G435" i="2"/>
  <c r="H435" i="2"/>
  <c r="G436" i="2"/>
  <c r="H436" i="2"/>
  <c r="G437" i="2"/>
  <c r="H437" i="2"/>
  <c r="G438" i="2"/>
  <c r="H438" i="2"/>
  <c r="H439" i="2"/>
  <c r="G440" i="2"/>
  <c r="H440" i="2" s="1"/>
  <c r="H441" i="2"/>
  <c r="G442" i="2"/>
  <c r="H442" i="2"/>
  <c r="H443" i="2"/>
  <c r="H444" i="2"/>
  <c r="H445" i="2"/>
  <c r="H446" i="2"/>
  <c r="H447" i="2"/>
  <c r="H448" i="2"/>
  <c r="H449" i="2"/>
  <c r="G450" i="2"/>
  <c r="H450" i="2" s="1"/>
  <c r="G451" i="2"/>
  <c r="H451" i="2" s="1"/>
  <c r="G452" i="2"/>
  <c r="H452" i="2" s="1"/>
  <c r="H453" i="2"/>
  <c r="H454" i="2"/>
  <c r="G455" i="2"/>
  <c r="H455" i="2" s="1"/>
  <c r="G456" i="2"/>
  <c r="H456" i="2" s="1"/>
  <c r="G457" i="2"/>
  <c r="H457" i="2" s="1"/>
  <c r="G458" i="2"/>
  <c r="H458" i="2" s="1"/>
  <c r="G459" i="2"/>
  <c r="H459" i="2" s="1"/>
  <c r="H460" i="2"/>
  <c r="H461" i="2"/>
  <c r="G462" i="2"/>
  <c r="H462" i="2" s="1"/>
  <c r="G463" i="2"/>
  <c r="H463" i="2" s="1"/>
  <c r="G464" i="2"/>
  <c r="H464" i="2" s="1"/>
  <c r="H465" i="2"/>
  <c r="H466" i="2"/>
  <c r="H467" i="2"/>
  <c r="H468" i="2"/>
  <c r="H469" i="2"/>
  <c r="H470" i="2"/>
  <c r="G471" i="2"/>
  <c r="H471" i="2" s="1"/>
  <c r="H472" i="2"/>
  <c r="H473" i="2"/>
  <c r="G474" i="2"/>
  <c r="H474" i="2" s="1"/>
  <c r="G475" i="2"/>
  <c r="H475" i="2" s="1"/>
  <c r="G476" i="2"/>
  <c r="H476" i="2" s="1"/>
  <c r="G477" i="2"/>
  <c r="H477" i="2" s="1"/>
  <c r="G478" i="2"/>
  <c r="H478" i="2" s="1"/>
  <c r="G479" i="2"/>
  <c r="H479" i="2" s="1"/>
  <c r="G480" i="2"/>
  <c r="H480" i="2" s="1"/>
  <c r="G481" i="2"/>
  <c r="H481" i="2" s="1"/>
  <c r="H482" i="2"/>
  <c r="G483" i="2"/>
  <c r="H483" i="2"/>
  <c r="H484" i="2"/>
  <c r="G485" i="2"/>
  <c r="H485" i="2" s="1"/>
  <c r="H486" i="2"/>
  <c r="H487" i="2"/>
  <c r="G488" i="2"/>
  <c r="H488" i="2" s="1"/>
  <c r="G489" i="2"/>
  <c r="H489" i="2" s="1"/>
  <c r="G490" i="2"/>
  <c r="H490" i="2" s="1"/>
  <c r="G491" i="2"/>
  <c r="H491" i="2" s="1"/>
  <c r="H492" i="2"/>
  <c r="H493" i="2"/>
  <c r="H494" i="2"/>
  <c r="G495" i="2"/>
  <c r="H495" i="2"/>
  <c r="H496" i="2"/>
  <c r="H497" i="2"/>
  <c r="G498" i="2"/>
  <c r="H498" i="2"/>
  <c r="H499" i="2"/>
  <c r="H500" i="2"/>
  <c r="H501" i="2"/>
  <c r="G502" i="2"/>
  <c r="H502" i="2" s="1"/>
  <c r="H503" i="2"/>
  <c r="G504" i="2"/>
  <c r="H504" i="2"/>
  <c r="H505" i="2"/>
  <c r="G506" i="2"/>
  <c r="H506" i="2" s="1"/>
  <c r="G507" i="2"/>
  <c r="H507" i="2" s="1"/>
  <c r="G508" i="2"/>
  <c r="H508" i="2" s="1"/>
  <c r="G509" i="2"/>
  <c r="H509" i="2" s="1"/>
  <c r="G510" i="2"/>
  <c r="H510" i="2" s="1"/>
  <c r="H511" i="2"/>
  <c r="H512" i="2"/>
  <c r="G513" i="2"/>
  <c r="H513" i="2" s="1"/>
  <c r="G514" i="2"/>
  <c r="H514" i="2" s="1"/>
  <c r="G515" i="2"/>
  <c r="H515" i="2" s="1"/>
  <c r="G516" i="2"/>
  <c r="H516" i="2" s="1"/>
  <c r="H517" i="2"/>
  <c r="G518" i="2"/>
  <c r="H518" i="2"/>
  <c r="G519" i="2"/>
  <c r="H519" i="2"/>
  <c r="G520" i="2"/>
  <c r="H520" i="2"/>
  <c r="G521" i="2"/>
  <c r="H521" i="2"/>
  <c r="G522" i="2"/>
  <c r="H522" i="2"/>
  <c r="H523" i="2"/>
  <c r="H524" i="2"/>
  <c r="G525" i="2"/>
  <c r="H525" i="2"/>
  <c r="G526" i="2"/>
  <c r="H526" i="2"/>
  <c r="G527" i="2"/>
  <c r="H527" i="2"/>
  <c r="G528" i="2"/>
  <c r="H528" i="2"/>
  <c r="G529" i="2"/>
  <c r="H529" i="2"/>
  <c r="H530" i="2"/>
  <c r="H531" i="2"/>
  <c r="G532" i="2"/>
  <c r="H532" i="2"/>
  <c r="G533" i="2"/>
  <c r="H533" i="2"/>
  <c r="G534" i="2"/>
  <c r="H534" i="2"/>
  <c r="H535" i="2"/>
  <c r="G536" i="2"/>
  <c r="H536" i="2" s="1"/>
  <c r="G537" i="2"/>
  <c r="H537" i="2" s="1"/>
  <c r="G538" i="2"/>
  <c r="H538" i="2" s="1"/>
  <c r="G539" i="2"/>
  <c r="H539" i="2" s="1"/>
  <c r="H540" i="2"/>
  <c r="G541" i="2"/>
  <c r="H541" i="2"/>
  <c r="H542" i="2"/>
  <c r="G543" i="2"/>
  <c r="H543" i="2" s="1"/>
  <c r="H544" i="2"/>
  <c r="H545" i="2"/>
  <c r="H546" i="2"/>
  <c r="H547" i="2"/>
  <c r="G548" i="2"/>
  <c r="H548" i="2" s="1"/>
  <c r="H549" i="2"/>
  <c r="H550" i="2"/>
  <c r="H551" i="2"/>
  <c r="G552" i="2"/>
  <c r="H552" i="2"/>
  <c r="G553" i="2"/>
  <c r="H553" i="2"/>
  <c r="G554" i="2"/>
  <c r="H554" i="2"/>
  <c r="G555" i="2"/>
  <c r="H555" i="2"/>
  <c r="H556" i="2"/>
  <c r="H557" i="2"/>
  <c r="G558" i="2"/>
  <c r="H558" i="2"/>
  <c r="H559" i="2"/>
  <c r="H560" i="2"/>
  <c r="H561" i="2"/>
  <c r="H562" i="2"/>
  <c r="G563" i="2"/>
  <c r="H563" i="2"/>
  <c r="G564" i="2"/>
  <c r="H564" i="2"/>
  <c r="G565" i="2"/>
  <c r="H565" i="2"/>
  <c r="G566" i="2"/>
  <c r="H566" i="2"/>
  <c r="G567" i="2"/>
  <c r="H567" i="2"/>
  <c r="H568" i="2"/>
  <c r="H569" i="2"/>
  <c r="H570" i="2"/>
  <c r="G571" i="2"/>
  <c r="H571" i="2" s="1"/>
  <c r="G572" i="2"/>
  <c r="H572" i="2" s="1"/>
  <c r="G573" i="2"/>
  <c r="H573" i="2" s="1"/>
  <c r="G574" i="2"/>
  <c r="H574" i="2" s="1"/>
  <c r="G575" i="2"/>
  <c r="H575" i="2" s="1"/>
  <c r="G576" i="2"/>
  <c r="H576" i="2" s="1"/>
  <c r="G577" i="2"/>
  <c r="H577" i="2" s="1"/>
  <c r="G578" i="2"/>
  <c r="H578" i="2" s="1"/>
  <c r="G579" i="2"/>
  <c r="H579" i="2" s="1"/>
  <c r="G580" i="2"/>
  <c r="H580" i="2" s="1"/>
  <c r="G581" i="2"/>
  <c r="H581" i="2" s="1"/>
  <c r="H582" i="2"/>
  <c r="H583" i="2"/>
  <c r="G584" i="2"/>
  <c r="H584" i="2" s="1"/>
  <c r="G585" i="2"/>
  <c r="H585" i="2" s="1"/>
  <c r="H586" i="2"/>
  <c r="G587" i="2"/>
  <c r="H587" i="2"/>
  <c r="G588" i="2"/>
  <c r="H588" i="2"/>
  <c r="G589" i="2"/>
  <c r="H589" i="2"/>
  <c r="G590" i="2"/>
  <c r="H590" i="2"/>
  <c r="H591" i="2"/>
  <c r="G592" i="2"/>
  <c r="H592" i="2" s="1"/>
  <c r="G593" i="2"/>
  <c r="H593" i="2" s="1"/>
  <c r="H594" i="2"/>
  <c r="G595" i="2"/>
  <c r="H595" i="2"/>
  <c r="G596" i="2"/>
  <c r="H596" i="2"/>
  <c r="H597" i="2"/>
  <c r="G598" i="2"/>
  <c r="H598" i="2" s="1"/>
  <c r="G599" i="2"/>
  <c r="H599" i="2" s="1"/>
  <c r="H600" i="2"/>
  <c r="H601" i="2"/>
  <c r="G602" i="2"/>
  <c r="H602" i="2" s="1"/>
  <c r="G603" i="2"/>
  <c r="H603" i="2" s="1"/>
  <c r="H604" i="2"/>
  <c r="G605" i="2"/>
  <c r="H605" i="2"/>
  <c r="G606" i="2"/>
  <c r="H606" i="2"/>
  <c r="G607" i="2"/>
  <c r="H607" i="2"/>
  <c r="G608" i="2"/>
  <c r="H608" i="2"/>
  <c r="H609" i="2"/>
  <c r="H610" i="2"/>
  <c r="G611" i="2"/>
  <c r="H611" i="2"/>
  <c r="G612" i="2"/>
  <c r="H612" i="2"/>
  <c r="G613" i="2"/>
  <c r="H613" i="2"/>
  <c r="H614" i="2"/>
  <c r="G615" i="2"/>
  <c r="H615" i="2" s="1"/>
  <c r="H616" i="2"/>
  <c r="G617" i="2"/>
  <c r="H617" i="2"/>
  <c r="G618" i="2"/>
  <c r="H618" i="2"/>
  <c r="H619" i="2"/>
  <c r="H620" i="2"/>
  <c r="H621" i="2"/>
  <c r="H622" i="2"/>
  <c r="H623" i="2"/>
  <c r="H624" i="2"/>
  <c r="G625" i="2"/>
  <c r="H625" i="2"/>
  <c r="H626" i="2"/>
  <c r="H627" i="2"/>
  <c r="G628" i="2"/>
  <c r="H628" i="2"/>
  <c r="G629" i="2"/>
  <c r="H629" i="2"/>
  <c r="H630" i="2"/>
  <c r="G631" i="2"/>
  <c r="H631" i="2" s="1"/>
  <c r="H632" i="2"/>
  <c r="G633" i="2"/>
  <c r="H633" i="2"/>
  <c r="H634" i="2"/>
  <c r="G635" i="2"/>
  <c r="H635" i="2" s="1"/>
  <c r="G636" i="2"/>
  <c r="H636" i="2" s="1"/>
  <c r="G637" i="2"/>
  <c r="H637" i="2" s="1"/>
  <c r="G638" i="2"/>
  <c r="H638" i="2" s="1"/>
  <c r="G639" i="2"/>
  <c r="H639" i="2" s="1"/>
  <c r="G640" i="2"/>
  <c r="H640" i="2" s="1"/>
  <c r="G641" i="2"/>
  <c r="H641" i="2" s="1"/>
  <c r="H642" i="2"/>
  <c r="H643" i="2"/>
  <c r="H644" i="2"/>
  <c r="H645" i="2"/>
  <c r="G646" i="2"/>
  <c r="H646" i="2" s="1"/>
  <c r="G647" i="2"/>
  <c r="H647" i="2" s="1"/>
  <c r="G648" i="2"/>
  <c r="H648" i="2" s="1"/>
  <c r="H649" i="2"/>
  <c r="H650" i="2"/>
  <c r="H651" i="2"/>
  <c r="G652" i="2"/>
  <c r="H652" i="2"/>
  <c r="H653" i="2"/>
  <c r="H654" i="2"/>
  <c r="G655" i="2"/>
  <c r="H655" i="2"/>
  <c r="G656" i="2"/>
  <c r="H656" i="2"/>
  <c r="G657" i="2"/>
  <c r="H657" i="2"/>
  <c r="G658" i="2"/>
  <c r="H658" i="2"/>
  <c r="G659" i="2"/>
  <c r="H659" i="2"/>
  <c r="G660" i="2"/>
  <c r="H660" i="2"/>
  <c r="G661" i="2"/>
  <c r="H661" i="2"/>
  <c r="G662" i="2"/>
  <c r="H662" i="2"/>
  <c r="G663" i="2"/>
  <c r="H663" i="2"/>
  <c r="H664" i="2"/>
  <c r="G665" i="2"/>
  <c r="H665" i="2" s="1"/>
  <c r="G666" i="2"/>
  <c r="H666" i="2" s="1"/>
  <c r="G667" i="2"/>
  <c r="H667" i="2" s="1"/>
  <c r="H668" i="2"/>
  <c r="H669" i="2"/>
  <c r="G670" i="2"/>
  <c r="H670" i="2" s="1"/>
  <c r="G671" i="2"/>
  <c r="H671" i="2" s="1"/>
  <c r="G672" i="2"/>
  <c r="H672" i="2" s="1"/>
  <c r="G673" i="2"/>
  <c r="H673" i="2" s="1"/>
  <c r="G674" i="2"/>
  <c r="H674" i="2" s="1"/>
  <c r="H675" i="2"/>
  <c r="H676" i="2"/>
  <c r="G677" i="2"/>
  <c r="H677" i="2" s="1"/>
  <c r="H678" i="2"/>
  <c r="G679" i="2"/>
  <c r="H679" i="2"/>
  <c r="G680" i="2"/>
  <c r="H680" i="2"/>
  <c r="G681" i="2"/>
  <c r="H681" i="2"/>
  <c r="G682" i="2"/>
  <c r="H682" i="2"/>
  <c r="H683" i="2"/>
  <c r="H684" i="2"/>
  <c r="G685" i="2"/>
  <c r="H685" i="2"/>
  <c r="G686" i="2"/>
  <c r="H686" i="2"/>
  <c r="G687" i="2"/>
  <c r="H687" i="2"/>
  <c r="H688" i="2"/>
  <c r="G689" i="2"/>
  <c r="H689" i="2" s="1"/>
  <c r="G690" i="2"/>
  <c r="H690" i="2" s="1"/>
  <c r="G691" i="2"/>
  <c r="H691" i="2" s="1"/>
  <c r="G692" i="2"/>
  <c r="H692" i="2" s="1"/>
  <c r="G693" i="2"/>
  <c r="H693" i="2" s="1"/>
  <c r="G694" i="2"/>
  <c r="H694" i="2" s="1"/>
  <c r="G695" i="2"/>
  <c r="H695" i="2" s="1"/>
  <c r="H696" i="2"/>
  <c r="H697" i="2"/>
  <c r="G698" i="2"/>
  <c r="H698" i="2" s="1"/>
  <c r="G699" i="2"/>
  <c r="H699" i="2" s="1"/>
  <c r="H700" i="2"/>
  <c r="H701" i="2"/>
  <c r="G702" i="2"/>
  <c r="H702" i="2" s="1"/>
  <c r="G703" i="2"/>
  <c r="H703" i="2" s="1"/>
  <c r="G704" i="2"/>
  <c r="H704" i="2" s="1"/>
  <c r="H705" i="2"/>
  <c r="G706" i="2"/>
  <c r="H706" i="2"/>
  <c r="G707" i="2"/>
  <c r="H707" i="2"/>
  <c r="H708" i="2"/>
  <c r="H709" i="2"/>
  <c r="H710" i="2"/>
  <c r="H711" i="2"/>
  <c r="H712" i="2"/>
  <c r="G713" i="2"/>
  <c r="H713" i="2" s="1"/>
  <c r="H714" i="2"/>
  <c r="G715" i="2"/>
  <c r="H715" i="2"/>
  <c r="G716" i="2"/>
  <c r="H716" i="2"/>
  <c r="H717" i="2"/>
  <c r="G718" i="2"/>
  <c r="H718" i="2" s="1"/>
  <c r="G719" i="2"/>
  <c r="H719" i="2" s="1"/>
  <c r="G720" i="2"/>
  <c r="H720" i="2" s="1"/>
  <c r="G721" i="2"/>
  <c r="H721" i="2" s="1"/>
  <c r="G722" i="2"/>
  <c r="H722" i="2" s="1"/>
  <c r="H723" i="2"/>
  <c r="G724" i="2"/>
  <c r="H724" i="2"/>
  <c r="G725" i="2"/>
  <c r="H725" i="2"/>
  <c r="H726" i="2"/>
  <c r="H727" i="2"/>
  <c r="H728" i="2"/>
  <c r="G729" i="2"/>
  <c r="H729" i="2" s="1"/>
  <c r="H730" i="2"/>
  <c r="G731" i="2"/>
  <c r="H731" i="2"/>
  <c r="G732" i="2"/>
  <c r="H732" i="2"/>
  <c r="G733" i="2"/>
  <c r="H733" i="2"/>
  <c r="G734" i="2"/>
  <c r="H734" i="2"/>
  <c r="G735" i="2"/>
  <c r="H735" i="2"/>
  <c r="H736" i="2"/>
  <c r="G737" i="2"/>
  <c r="H737" i="2" s="1"/>
  <c r="H738" i="2"/>
  <c r="H739" i="2"/>
  <c r="H740" i="2"/>
  <c r="G741" i="2"/>
  <c r="H741" i="2"/>
  <c r="G742" i="2"/>
  <c r="H742" i="2"/>
  <c r="G743" i="2"/>
  <c r="H743" i="2"/>
  <c r="G744" i="2"/>
  <c r="H744" i="2"/>
  <c r="G745" i="2"/>
  <c r="H745" i="2"/>
  <c r="G746" i="2"/>
  <c r="H746" i="2"/>
  <c r="H747" i="2"/>
  <c r="G748" i="2"/>
  <c r="H748" i="2" s="1"/>
  <c r="H749" i="2"/>
  <c r="G750" i="2"/>
  <c r="H750" i="2"/>
  <c r="H751" i="2"/>
  <c r="G752" i="2"/>
  <c r="H752" i="2" s="1"/>
  <c r="G753" i="2"/>
  <c r="H753" i="2" s="1"/>
  <c r="G754" i="2"/>
  <c r="H754" i="2" s="1"/>
  <c r="H755" i="2"/>
  <c r="G756" i="2"/>
  <c r="H756" i="2"/>
  <c r="H757" i="2"/>
  <c r="G758" i="2"/>
  <c r="H758" i="2" s="1"/>
  <c r="G759" i="2"/>
  <c r="H759" i="2" s="1"/>
  <c r="G760" i="2"/>
  <c r="H760" i="2" s="1"/>
  <c r="G761" i="2"/>
  <c r="H761" i="2" s="1"/>
  <c r="G762" i="2"/>
  <c r="H762" i="2" s="1"/>
  <c r="G763" i="2"/>
  <c r="H763" i="2" s="1"/>
  <c r="G764" i="2"/>
  <c r="H764" i="2" s="1"/>
  <c r="G765" i="2"/>
  <c r="H765" i="2" s="1"/>
  <c r="G766" i="2"/>
  <c r="H766" i="2" s="1"/>
  <c r="G767" i="2"/>
  <c r="H767" i="2" s="1"/>
  <c r="H768" i="2"/>
  <c r="G769" i="2"/>
  <c r="H769" i="2"/>
  <c r="G770" i="2"/>
  <c r="H770" i="2"/>
  <c r="G771" i="2"/>
  <c r="H771" i="2"/>
  <c r="G772" i="2"/>
  <c r="H772" i="2"/>
  <c r="G773" i="2"/>
  <c r="H773" i="2"/>
  <c r="G774" i="2"/>
  <c r="H774" i="2"/>
  <c r="H775" i="2"/>
  <c r="H776" i="2"/>
  <c r="G777" i="2"/>
  <c r="H777" i="2"/>
  <c r="G778" i="2"/>
  <c r="H778" i="2"/>
  <c r="H779" i="2"/>
  <c r="H780" i="2"/>
  <c r="H781" i="2"/>
  <c r="G782" i="2"/>
  <c r="H782" i="2" s="1"/>
  <c r="H783" i="2"/>
  <c r="G784" i="2"/>
  <c r="H784" i="2"/>
  <c r="G785" i="2"/>
  <c r="H785" i="2"/>
  <c r="G786" i="2"/>
  <c r="H786" i="2"/>
  <c r="G787" i="2"/>
  <c r="H787" i="2"/>
  <c r="G788" i="2"/>
  <c r="H788" i="2"/>
  <c r="H789" i="2"/>
  <c r="G790" i="2"/>
  <c r="H790" i="2" s="1"/>
  <c r="G791" i="2"/>
  <c r="H791" i="2" s="1"/>
  <c r="G792" i="2"/>
  <c r="H792" i="2" s="1"/>
  <c r="G793" i="2"/>
  <c r="H793" i="2" s="1"/>
  <c r="G794" i="2"/>
  <c r="H794" i="2" s="1"/>
  <c r="G795" i="2"/>
  <c r="H795" i="2" s="1"/>
  <c r="G796" i="2"/>
  <c r="H796" i="2" s="1"/>
  <c r="G797" i="2"/>
  <c r="H797" i="2" s="1"/>
  <c r="H798" i="2"/>
  <c r="H799" i="2"/>
  <c r="G800" i="2"/>
  <c r="H800" i="2" s="1"/>
  <c r="H801" i="2"/>
  <c r="H802" i="2"/>
  <c r="G803" i="2"/>
  <c r="H803" i="2" s="1"/>
  <c r="G804" i="2"/>
  <c r="H804" i="2" s="1"/>
  <c r="G805" i="2"/>
  <c r="H805" i="2" s="1"/>
  <c r="G806" i="2"/>
  <c r="H806" i="2" s="1"/>
  <c r="G807" i="2"/>
  <c r="H807" i="2" s="1"/>
  <c r="G808" i="2"/>
  <c r="H808" i="2" s="1"/>
  <c r="H809" i="2"/>
  <c r="G810" i="2"/>
  <c r="H810" i="2"/>
  <c r="G811" i="2"/>
  <c r="H811" i="2"/>
  <c r="G812" i="2"/>
  <c r="H812" i="2"/>
  <c r="G813" i="2"/>
  <c r="H813" i="2"/>
  <c r="G814" i="2"/>
  <c r="H814" i="2"/>
  <c r="G815" i="2"/>
  <c r="H815" i="2"/>
  <c r="G816" i="2"/>
  <c r="H816" i="2"/>
  <c r="H817" i="2"/>
  <c r="G818" i="2"/>
  <c r="H818" i="2" s="1"/>
  <c r="G819" i="2"/>
  <c r="H819" i="2" s="1"/>
  <c r="G820" i="2"/>
  <c r="H820" i="2" s="1"/>
  <c r="H821" i="2"/>
  <c r="H822" i="2"/>
  <c r="H823" i="2"/>
  <c r="G824" i="2"/>
  <c r="H824" i="2"/>
  <c r="G825" i="2"/>
  <c r="H825" i="2"/>
  <c r="H826" i="2"/>
  <c r="H827" i="2"/>
  <c r="H828" i="2"/>
  <c r="H829" i="2"/>
  <c r="H830" i="2"/>
  <c r="G831" i="2"/>
  <c r="H831" i="2" s="1"/>
  <c r="H832" i="2"/>
  <c r="H833" i="2"/>
  <c r="G834" i="2"/>
  <c r="H834" i="2" s="1"/>
  <c r="H835" i="2"/>
  <c r="G836" i="2"/>
  <c r="H836" i="2"/>
  <c r="G837" i="2"/>
  <c r="H837" i="2"/>
  <c r="H838" i="2"/>
  <c r="G839" i="2"/>
  <c r="H839" i="2" s="1"/>
  <c r="G840" i="2"/>
  <c r="H840" i="2" s="1"/>
  <c r="H841" i="2"/>
  <c r="G842" i="2"/>
  <c r="H842" i="2"/>
  <c r="G843" i="2"/>
  <c r="H843" i="2"/>
  <c r="G844" i="2"/>
  <c r="H844" i="2"/>
  <c r="H845" i="2"/>
  <c r="H846" i="2"/>
  <c r="H847" i="2"/>
  <c r="H848" i="2"/>
  <c r="H849" i="2"/>
  <c r="G850" i="2"/>
  <c r="H850" i="2" s="1"/>
  <c r="G851" i="2"/>
  <c r="H851" i="2" s="1"/>
  <c r="G852" i="2"/>
  <c r="H852" i="2" s="1"/>
  <c r="G853" i="2"/>
  <c r="H853" i="2" s="1"/>
  <c r="H854" i="2"/>
  <c r="G855" i="2"/>
  <c r="H855" i="2"/>
  <c r="H856" i="2"/>
  <c r="G857" i="2"/>
  <c r="H857" i="2" s="1"/>
  <c r="G858" i="2"/>
  <c r="H858" i="2" s="1"/>
  <c r="G859" i="2"/>
  <c r="H859" i="2" s="1"/>
  <c r="H860" i="2"/>
  <c r="G861" i="2"/>
  <c r="H861" i="2"/>
  <c r="G862" i="2"/>
  <c r="H862" i="2"/>
  <c r="G863" i="2"/>
  <c r="H863" i="2"/>
  <c r="G864" i="2"/>
  <c r="H864" i="2"/>
  <c r="G865" i="2"/>
  <c r="H865" i="2"/>
  <c r="G866" i="2"/>
  <c r="H866" i="2"/>
  <c r="G867" i="2"/>
  <c r="H867" i="2"/>
  <c r="G868" i="2"/>
  <c r="H868" i="2"/>
  <c r="G869" i="2"/>
  <c r="H869" i="2"/>
  <c r="H870" i="2"/>
  <c r="G871" i="2"/>
  <c r="H871" i="2" s="1"/>
  <c r="H872" i="2"/>
  <c r="H873" i="2"/>
  <c r="G874" i="2"/>
  <c r="H874" i="2" s="1"/>
  <c r="G875" i="2"/>
  <c r="H875" i="2" s="1"/>
  <c r="G876" i="2"/>
  <c r="H876" i="2" s="1"/>
  <c r="G877" i="2"/>
  <c r="H877" i="2" s="1"/>
  <c r="G878" i="2"/>
  <c r="H878" i="2" s="1"/>
  <c r="H879" i="2"/>
  <c r="H880" i="2"/>
  <c r="G881" i="2"/>
  <c r="H881" i="2" s="1"/>
  <c r="H882" i="2"/>
  <c r="G883" i="2"/>
  <c r="H883" i="2"/>
  <c r="G884" i="2"/>
  <c r="H884" i="2"/>
  <c r="H885" i="2"/>
  <c r="G886" i="2"/>
  <c r="H886" i="2" s="1"/>
  <c r="G887" i="2"/>
  <c r="H887" i="2" s="1"/>
  <c r="G888" i="2"/>
  <c r="H888" i="2" s="1"/>
  <c r="H889" i="2"/>
  <c r="H890" i="2"/>
  <c r="H891" i="2"/>
  <c r="G892" i="2"/>
  <c r="H892" i="2"/>
  <c r="G893" i="2"/>
  <c r="H893" i="2"/>
  <c r="G894" i="2"/>
  <c r="H894" i="2"/>
  <c r="H895" i="2"/>
  <c r="G896" i="2"/>
  <c r="H896" i="2" s="1"/>
  <c r="G897" i="2"/>
  <c r="H897" i="2" s="1"/>
  <c r="G898" i="2"/>
  <c r="H898" i="2" s="1"/>
  <c r="H899" i="2"/>
  <c r="H900" i="2"/>
  <c r="H901" i="2"/>
  <c r="G902" i="2"/>
  <c r="H902" i="2"/>
  <c r="H903" i="2"/>
  <c r="H904" i="2"/>
  <c r="G905" i="2"/>
  <c r="H905" i="2"/>
  <c r="G906" i="2"/>
  <c r="H906" i="2"/>
  <c r="H907" i="2"/>
  <c r="H908" i="2"/>
  <c r="G909" i="2"/>
  <c r="H909" i="2"/>
  <c r="G910" i="2"/>
  <c r="H910" i="2"/>
  <c r="H911" i="2"/>
  <c r="H912" i="2"/>
  <c r="H913" i="2"/>
  <c r="H914" i="2"/>
  <c r="H915" i="2"/>
  <c r="H916" i="2"/>
  <c r="G917" i="2"/>
  <c r="H917" i="2"/>
  <c r="H918" i="2"/>
  <c r="H919" i="2"/>
  <c r="H920" i="2"/>
  <c r="H921" i="2"/>
  <c r="H922" i="2"/>
  <c r="G923" i="2"/>
  <c r="H923" i="2" s="1"/>
  <c r="G924" i="2"/>
  <c r="H924" i="2" s="1"/>
  <c r="H925" i="2"/>
  <c r="H926" i="2"/>
  <c r="G927" i="2"/>
  <c r="H927" i="2" s="1"/>
  <c r="G928" i="2"/>
  <c r="H928" i="2" s="1"/>
  <c r="H929" i="2"/>
  <c r="G930" i="2"/>
  <c r="H930" i="2"/>
  <c r="G931" i="2"/>
  <c r="H931" i="2"/>
  <c r="G932" i="2"/>
  <c r="H932" i="2"/>
  <c r="H933" i="2"/>
  <c r="H934" i="2"/>
  <c r="G935" i="2"/>
  <c r="H935" i="2"/>
  <c r="G936" i="2"/>
  <c r="H936" i="2"/>
  <c r="G937" i="2"/>
  <c r="H937" i="2"/>
  <c r="G938" i="2"/>
  <c r="H938" i="2"/>
  <c r="H939" i="2"/>
  <c r="H940" i="2"/>
  <c r="G941" i="2"/>
  <c r="H941" i="2"/>
  <c r="G942" i="2"/>
  <c r="H942" i="2"/>
  <c r="G943" i="2"/>
  <c r="H943" i="2"/>
  <c r="G944" i="2"/>
  <c r="H944" i="2"/>
  <c r="H945" i="2"/>
  <c r="H946" i="2"/>
  <c r="H947" i="2"/>
  <c r="G948" i="2"/>
  <c r="H948" i="2" s="1"/>
  <c r="H949" i="2"/>
  <c r="G950" i="2"/>
  <c r="H950" i="2"/>
  <c r="H951" i="2"/>
  <c r="H952" i="2"/>
  <c r="H953" i="2"/>
  <c r="G954" i="2"/>
  <c r="H954" i="2" s="1"/>
  <c r="G955" i="2"/>
  <c r="H955" i="2" s="1"/>
  <c r="G956" i="2"/>
  <c r="H956" i="2" s="1"/>
  <c r="H957" i="2"/>
  <c r="G958" i="2"/>
  <c r="H958" i="2"/>
  <c r="H959" i="2"/>
  <c r="G960" i="2"/>
  <c r="H960" i="2" s="1"/>
  <c r="G961" i="2"/>
  <c r="H961" i="2" s="1"/>
  <c r="G962" i="2"/>
  <c r="H962" i="2" s="1"/>
  <c r="G963" i="2"/>
  <c r="H963" i="2" s="1"/>
  <c r="H964" i="2"/>
  <c r="G965" i="2"/>
  <c r="H965" i="2"/>
  <c r="G966" i="2"/>
  <c r="H966" i="2"/>
  <c r="G967" i="2"/>
  <c r="H967" i="2"/>
  <c r="H968" i="2"/>
  <c r="G969" i="2"/>
  <c r="H969" i="2" s="1"/>
  <c r="G970" i="2"/>
  <c r="H970" i="2" s="1"/>
  <c r="H971" i="2"/>
  <c r="H972" i="2"/>
  <c r="H973" i="2"/>
  <c r="H974" i="2"/>
  <c r="G975" i="2"/>
  <c r="H975" i="2" s="1"/>
  <c r="G976" i="2"/>
  <c r="H976" i="2" s="1"/>
  <c r="G977" i="2"/>
  <c r="H977" i="2" s="1"/>
  <c r="G978" i="2"/>
  <c r="H978" i="2" s="1"/>
  <c r="H979" i="2"/>
  <c r="G980" i="2"/>
  <c r="H980" i="2"/>
  <c r="G981" i="2"/>
  <c r="H981" i="2"/>
  <c r="H982" i="2"/>
  <c r="H983" i="2"/>
  <c r="H984" i="2"/>
  <c r="G985" i="2"/>
  <c r="H985" i="2" s="1"/>
  <c r="H986" i="2"/>
  <c r="G987" i="2"/>
  <c r="H987" i="2"/>
  <c r="G988" i="2"/>
  <c r="H988" i="2"/>
  <c r="G989" i="2"/>
  <c r="H989" i="2"/>
  <c r="G990" i="2"/>
  <c r="H990" i="2"/>
  <c r="H991" i="2"/>
  <c r="G992" i="2"/>
  <c r="H992" i="2" s="1"/>
  <c r="G993" i="2"/>
  <c r="H993" i="2" s="1"/>
  <c r="H994" i="2"/>
  <c r="H995" i="2"/>
  <c r="G996" i="2"/>
  <c r="H996" i="2" s="1"/>
  <c r="H997" i="2"/>
  <c r="H998" i="2"/>
  <c r="H999" i="2"/>
  <c r="H1000" i="2"/>
  <c r="G1001" i="2"/>
  <c r="H1001" i="2" s="1"/>
  <c r="H1002" i="2"/>
  <c r="G1003" i="2"/>
  <c r="H1003" i="2"/>
  <c r="G1004" i="2"/>
  <c r="H1004" i="2"/>
  <c r="G1005" i="2"/>
  <c r="H1005" i="2"/>
  <c r="H1006" i="2"/>
  <c r="G1007" i="2"/>
  <c r="H1007" i="2" s="1"/>
  <c r="G1008" i="2"/>
  <c r="H1008" i="2" s="1"/>
  <c r="G1009" i="2"/>
  <c r="H1009" i="2" s="1"/>
  <c r="H1010" i="2"/>
  <c r="G1011" i="2"/>
  <c r="H1011" i="2"/>
  <c r="G1012" i="2"/>
  <c r="H1012" i="2"/>
  <c r="H1013" i="2"/>
  <c r="H1014" i="2"/>
  <c r="G1015" i="2"/>
  <c r="H1015" i="2"/>
  <c r="H1016" i="2"/>
  <c r="H1017" i="2"/>
  <c r="H1018" i="2"/>
  <c r="G1019" i="2"/>
  <c r="H1019" i="2" s="1"/>
  <c r="H1020" i="2"/>
  <c r="H1021" i="2"/>
  <c r="H1022" i="2"/>
  <c r="H1023" i="2"/>
  <c r="H1024" i="2"/>
  <c r="H1025" i="2"/>
  <c r="H1026" i="2"/>
  <c r="G1027" i="2"/>
  <c r="H1027" i="2"/>
  <c r="H1028" i="2"/>
  <c r="H1029" i="2"/>
  <c r="G1030" i="2"/>
  <c r="H1030" i="2"/>
  <c r="H1031" i="2"/>
  <c r="H1032" i="2"/>
  <c r="G1033" i="2"/>
  <c r="H1033" i="2"/>
  <c r="G1034" i="2"/>
  <c r="H1034" i="2"/>
  <c r="H1035" i="2"/>
  <c r="G1036" i="2"/>
  <c r="H1036" i="2" s="1"/>
  <c r="G1037" i="2"/>
  <c r="H1037" i="2" s="1"/>
  <c r="H1038" i="2"/>
  <c r="G1039" i="2"/>
  <c r="H1039" i="2"/>
  <c r="G1040" i="2"/>
  <c r="H1040" i="2"/>
  <c r="H1041" i="2"/>
  <c r="G1042" i="2"/>
  <c r="H1042" i="2" s="1"/>
  <c r="G1043" i="2"/>
  <c r="H1043" i="2" s="1"/>
  <c r="H1044" i="2"/>
  <c r="G1045" i="2"/>
  <c r="H1045" i="2"/>
  <c r="H1046" i="2"/>
  <c r="H1047" i="2"/>
  <c r="H1048" i="2"/>
  <c r="G1049" i="2"/>
  <c r="H1049" i="2" s="1"/>
  <c r="H1050" i="2"/>
  <c r="G1051" i="2"/>
  <c r="H1051" i="2"/>
  <c r="G1052" i="2"/>
  <c r="H1052" i="2"/>
  <c r="G1053" i="2"/>
  <c r="H1053" i="2"/>
  <c r="G1054" i="2"/>
  <c r="H1054" i="2"/>
  <c r="G1055" i="2"/>
  <c r="H1055" i="2"/>
  <c r="G1056" i="2"/>
  <c r="H1056" i="2"/>
  <c r="H1057" i="2"/>
  <c r="G1058" i="2"/>
  <c r="H1058" i="2" s="1"/>
  <c r="H1059" i="2"/>
  <c r="H1060" i="2"/>
  <c r="G1061" i="2"/>
  <c r="H1061" i="2" s="1"/>
  <c r="G1062" i="2"/>
  <c r="H1062" i="2" s="1"/>
  <c r="G1063" i="2"/>
  <c r="H1063" i="2" s="1"/>
  <c r="G1064" i="2"/>
  <c r="H1064" i="2" s="1"/>
  <c r="H1065" i="2"/>
  <c r="H1066" i="2"/>
  <c r="H1067" i="2"/>
  <c r="G1068" i="2"/>
  <c r="H1068" i="2"/>
  <c r="G1069" i="2"/>
  <c r="H1069" i="2"/>
  <c r="G1070" i="2"/>
  <c r="H1070" i="2"/>
  <c r="H1071" i="2"/>
  <c r="G1072" i="2"/>
  <c r="H1072" i="2" s="1"/>
  <c r="G1073" i="2"/>
  <c r="H1073" i="2" s="1"/>
  <c r="H1074" i="2"/>
  <c r="G1075" i="2"/>
  <c r="H1075" i="2"/>
  <c r="G1076" i="2"/>
  <c r="H1076" i="2"/>
  <c r="H1077" i="2"/>
  <c r="G1078" i="2"/>
  <c r="H1078" i="2" s="1"/>
  <c r="G1079" i="2"/>
  <c r="H1079" i="2" s="1"/>
  <c r="G1080" i="2"/>
  <c r="H1080" i="2" s="1"/>
  <c r="G1081" i="2"/>
  <c r="H1081" i="2" s="1"/>
  <c r="G1082" i="2"/>
  <c r="H1082" i="2" s="1"/>
  <c r="G1083" i="2"/>
  <c r="H1083" i="2" s="1"/>
  <c r="G1084" i="2"/>
  <c r="H1084" i="2" s="1"/>
  <c r="H1085" i="2"/>
  <c r="G1086" i="2"/>
  <c r="H1086" i="2"/>
  <c r="H1087" i="2"/>
  <c r="G1088" i="2"/>
  <c r="H1088" i="2" s="1"/>
  <c r="G1089" i="2"/>
  <c r="H1089" i="2" s="1"/>
  <c r="G1090" i="2"/>
  <c r="H1090" i="2" s="1"/>
  <c r="G1091" i="2"/>
  <c r="H1091" i="2" s="1"/>
  <c r="H1092" i="2"/>
  <c r="G1093" i="2"/>
  <c r="H1093" i="2"/>
  <c r="H1094" i="2"/>
  <c r="H1095" i="2"/>
  <c r="G1096" i="2"/>
  <c r="H1096" i="2"/>
  <c r="H1097" i="2"/>
  <c r="H1098" i="2"/>
  <c r="H1099" i="2"/>
  <c r="H1100" i="2"/>
  <c r="G1101" i="2"/>
  <c r="H1101" i="2"/>
  <c r="G1102" i="2"/>
  <c r="H1102" i="2"/>
  <c r="G1103" i="2"/>
  <c r="H1103" i="2"/>
  <c r="H1104" i="2"/>
  <c r="H1105" i="2"/>
  <c r="H1106" i="2"/>
  <c r="G1107" i="2"/>
  <c r="H1107" i="2" s="1"/>
  <c r="H1108" i="2"/>
  <c r="G1109" i="2"/>
  <c r="H1109" i="2"/>
  <c r="G1110" i="2"/>
  <c r="H1110" i="2"/>
  <c r="H1111" i="2"/>
  <c r="H1112" i="2"/>
  <c r="G1113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G1125" i="2"/>
  <c r="H1125" i="2" s="1"/>
  <c r="H1126" i="2"/>
  <c r="G1127" i="2"/>
  <c r="H1127" i="2"/>
  <c r="H1128" i="2"/>
  <c r="G1129" i="2"/>
  <c r="H1129" i="2" s="1"/>
  <c r="G1130" i="2"/>
  <c r="H1130" i="2" s="1"/>
  <c r="H1131" i="2"/>
  <c r="G1132" i="2"/>
  <c r="H1132" i="2"/>
  <c r="H1133" i="2"/>
  <c r="H1134" i="2"/>
  <c r="G1135" i="2"/>
  <c r="H1135" i="2"/>
  <c r="G1136" i="2"/>
  <c r="H1136" i="2"/>
  <c r="H1137" i="2"/>
  <c r="G1138" i="2"/>
  <c r="H1138" i="2" s="1"/>
  <c r="G1139" i="2"/>
  <c r="H1139" i="2" s="1"/>
  <c r="G1140" i="2"/>
  <c r="H1140" i="2" s="1"/>
  <c r="H1141" i="2"/>
  <c r="G1142" i="2"/>
  <c r="H1142" i="2"/>
  <c r="H1143" i="2"/>
  <c r="H1144" i="2"/>
  <c r="H1145" i="2"/>
  <c r="G1146" i="2"/>
  <c r="H1146" i="2" s="1"/>
  <c r="G1147" i="2"/>
  <c r="H1147" i="2" s="1"/>
  <c r="H1148" i="2"/>
  <c r="G1149" i="2"/>
  <c r="H1149" i="2"/>
  <c r="G1150" i="2"/>
  <c r="H1150" i="2"/>
  <c r="G1151" i="2"/>
  <c r="H1151" i="2"/>
  <c r="G1152" i="2"/>
  <c r="H1152" i="2"/>
  <c r="H1153" i="2"/>
  <c r="H1154" i="2"/>
  <c r="H1155" i="2"/>
  <c r="G1156" i="2"/>
  <c r="H1156" i="2" s="1"/>
  <c r="G1157" i="2"/>
  <c r="H1157" i="2" s="1"/>
  <c r="G1158" i="2"/>
  <c r="H1158" i="2" s="1"/>
  <c r="H1159" i="2"/>
  <c r="H1160" i="2"/>
  <c r="H1161" i="2"/>
  <c r="H1162" i="2"/>
  <c r="H1163" i="2"/>
  <c r="G1164" i="2"/>
  <c r="H1164" i="2"/>
  <c r="H1165" i="2"/>
  <c r="G1166" i="2"/>
  <c r="H1166" i="2" s="1"/>
  <c r="G1167" i="2"/>
  <c r="H1167" i="2" s="1"/>
  <c r="G1168" i="2"/>
  <c r="H1168" i="2" s="1"/>
  <c r="G1169" i="2"/>
  <c r="H1169" i="2" s="1"/>
  <c r="H1170" i="2"/>
  <c r="H1171" i="2"/>
  <c r="G1172" i="2"/>
  <c r="H1172" i="2" s="1"/>
  <c r="G1173" i="2"/>
  <c r="H1173" i="2" s="1"/>
  <c r="H1174" i="2"/>
  <c r="G1175" i="2"/>
  <c r="H1175" i="2"/>
  <c r="H1176" i="2"/>
  <c r="H1177" i="2"/>
  <c r="H1178" i="2"/>
  <c r="G1179" i="2"/>
  <c r="H1179" i="2" s="1"/>
  <c r="H1180" i="2"/>
  <c r="H1181" i="2"/>
  <c r="G1182" i="2"/>
  <c r="H1182" i="2" s="1"/>
  <c r="H1183" i="2"/>
  <c r="G1184" i="2"/>
  <c r="H1184" i="2"/>
  <c r="O739" i="2" l="1"/>
  <c r="P453" i="2"/>
  <c r="L2" i="2" l="1"/>
  <c r="N2" i="2"/>
  <c r="L739" i="2"/>
  <c r="N739" i="2"/>
  <c r="P739" i="2"/>
  <c r="I739" i="2"/>
  <c r="M739" i="2"/>
  <c r="I453" i="2"/>
  <c r="K453" i="2"/>
  <c r="M453" i="2"/>
  <c r="O453" i="2"/>
  <c r="J453" i="2"/>
  <c r="L453" i="2"/>
  <c r="N453" i="2"/>
  <c r="O1033" i="2"/>
  <c r="O1034" i="2"/>
  <c r="K1039" i="2"/>
  <c r="P1041" i="2"/>
  <c r="O1046" i="2"/>
  <c r="O1009" i="2"/>
  <c r="P997" i="2"/>
  <c r="O1003" i="2"/>
  <c r="M1006" i="2"/>
  <c r="O1010" i="2"/>
  <c r="O1020" i="2"/>
  <c r="P1028" i="2"/>
  <c r="J1029" i="2"/>
  <c r="M963" i="2"/>
  <c r="M962" i="2"/>
  <c r="N991" i="2"/>
  <c r="P996" i="2"/>
  <c r="O964" i="2"/>
  <c r="P969" i="2"/>
  <c r="P970" i="2"/>
  <c r="J972" i="2"/>
  <c r="N978" i="2"/>
  <c r="O979" i="2"/>
  <c r="O980" i="2"/>
  <c r="N984" i="2"/>
  <c r="O985" i="2"/>
  <c r="O989" i="2"/>
  <c r="K936" i="2"/>
  <c r="N923" i="2"/>
  <c r="O928" i="2"/>
  <c r="L935" i="2"/>
  <c r="J943" i="2"/>
  <c r="K902" i="2"/>
  <c r="N894" i="2"/>
  <c r="J885" i="2"/>
  <c r="P892" i="2"/>
  <c r="M899" i="2"/>
  <c r="P900" i="2"/>
  <c r="O848" i="2"/>
  <c r="N861" i="2"/>
  <c r="O863" i="2"/>
  <c r="M812" i="2"/>
  <c r="J810" i="2"/>
  <c r="O810" i="2"/>
  <c r="O841" i="2"/>
  <c r="M843" i="2"/>
  <c r="O801" i="2"/>
  <c r="N780" i="2"/>
  <c r="P800" i="2"/>
  <c r="K801" i="2"/>
  <c r="J780" i="2" l="1"/>
  <c r="J936" i="2"/>
  <c r="N795" i="2"/>
  <c r="O795" i="2"/>
  <c r="P841" i="2"/>
  <c r="K861" i="2"/>
  <c r="P861" i="2"/>
  <c r="I863" i="2"/>
  <c r="N863" i="2"/>
  <c r="I885" i="2"/>
  <c r="L899" i="2"/>
  <c r="J923" i="2"/>
  <c r="O923" i="2"/>
  <c r="N810" i="2"/>
  <c r="J861" i="2"/>
  <c r="M861" i="2"/>
  <c r="K863" i="2"/>
  <c r="P885" i="2"/>
  <c r="J899" i="2"/>
  <c r="N899" i="2"/>
  <c r="M923" i="2"/>
  <c r="L936" i="2"/>
  <c r="P806" i="2"/>
  <c r="N806" i="2"/>
  <c r="L806" i="2"/>
  <c r="J806" i="2"/>
  <c r="O804" i="2"/>
  <c r="M804" i="2"/>
  <c r="K804" i="2"/>
  <c r="I804" i="2"/>
  <c r="O800" i="2"/>
  <c r="J804" i="2"/>
  <c r="N804" i="2"/>
  <c r="K806" i="2"/>
  <c r="O806" i="2"/>
  <c r="O853" i="2"/>
  <c r="M853" i="2"/>
  <c r="N853" i="2"/>
  <c r="P801" i="2"/>
  <c r="N801" i="2"/>
  <c r="L801" i="2"/>
  <c r="J801" i="2"/>
  <c r="O780" i="2"/>
  <c r="M780" i="2"/>
  <c r="K780" i="2"/>
  <c r="I780" i="2"/>
  <c r="L780" i="2"/>
  <c r="P780" i="2"/>
  <c r="J795" i="2"/>
  <c r="I801" i="2"/>
  <c r="M801" i="2"/>
  <c r="L804" i="2"/>
  <c r="P804" i="2"/>
  <c r="I806" i="2"/>
  <c r="M806" i="2"/>
  <c r="N840" i="2"/>
  <c r="L840" i="2"/>
  <c r="P840" i="2"/>
  <c r="M840" i="2"/>
  <c r="P832" i="2"/>
  <c r="M832" i="2"/>
  <c r="K832" i="2"/>
  <c r="I832" i="2"/>
  <c r="N832" i="2"/>
  <c r="L832" i="2"/>
  <c r="J832" i="2"/>
  <c r="K855" i="2"/>
  <c r="L855" i="2"/>
  <c r="N812" i="2"/>
  <c r="L843" i="2"/>
  <c r="I848" i="2"/>
  <c r="L848" i="2"/>
  <c r="P848" i="2"/>
  <c r="I892" i="2"/>
  <c r="K892" i="2"/>
  <c r="M892" i="2"/>
  <c r="O892" i="2"/>
  <c r="J894" i="2"/>
  <c r="M894" i="2"/>
  <c r="P894" i="2"/>
  <c r="O900" i="2"/>
  <c r="P902" i="2"/>
  <c r="O948" i="2"/>
  <c r="M948" i="2"/>
  <c r="K948" i="2"/>
  <c r="I948" i="2"/>
  <c r="P948" i="2"/>
  <c r="N948" i="2"/>
  <c r="L948" i="2"/>
  <c r="I928" i="2"/>
  <c r="K928" i="2"/>
  <c r="M928" i="2"/>
  <c r="P928" i="2"/>
  <c r="L943" i="2"/>
  <c r="K810" i="2"/>
  <c r="K843" i="2"/>
  <c r="K848" i="2"/>
  <c r="L861" i="2"/>
  <c r="J863" i="2"/>
  <c r="M863" i="2"/>
  <c r="J892" i="2"/>
  <c r="L892" i="2"/>
  <c r="N892" i="2"/>
  <c r="I894" i="2"/>
  <c r="L894" i="2"/>
  <c r="K899" i="2"/>
  <c r="I900" i="2"/>
  <c r="M947" i="2"/>
  <c r="I947" i="2"/>
  <c r="K923" i="2"/>
  <c r="J928" i="2"/>
  <c r="L928" i="2"/>
  <c r="N928" i="2"/>
  <c r="I943" i="2"/>
  <c r="J947" i="2"/>
  <c r="J948" i="2"/>
  <c r="N964" i="2"/>
  <c r="P964" i="2"/>
  <c r="L969" i="2"/>
  <c r="O969" i="2"/>
  <c r="K970" i="2"/>
  <c r="M970" i="2"/>
  <c r="O970" i="2"/>
  <c r="I978" i="2"/>
  <c r="K978" i="2"/>
  <c r="M978" i="2"/>
  <c r="O978" i="2"/>
  <c r="J979" i="2"/>
  <c r="N979" i="2"/>
  <c r="P979" i="2"/>
  <c r="I980" i="2"/>
  <c r="K980" i="2"/>
  <c r="M980" i="2"/>
  <c r="P980" i="2"/>
  <c r="M984" i="2"/>
  <c r="O984" i="2"/>
  <c r="I985" i="2"/>
  <c r="K985" i="2"/>
  <c r="N985" i="2"/>
  <c r="P985" i="2"/>
  <c r="L989" i="2"/>
  <c r="N989" i="2"/>
  <c r="P989" i="2"/>
  <c r="I996" i="2"/>
  <c r="K996" i="2"/>
  <c r="M996" i="2"/>
  <c r="O996" i="2"/>
  <c r="M997" i="2"/>
  <c r="J1003" i="2"/>
  <c r="L1003" i="2"/>
  <c r="N1003" i="2"/>
  <c r="P1003" i="2"/>
  <c r="L1006" i="2"/>
  <c r="N1006" i="2"/>
  <c r="N1009" i="2"/>
  <c r="P1009" i="2"/>
  <c r="J1010" i="2"/>
  <c r="L1010" i="2"/>
  <c r="N1010" i="2"/>
  <c r="P1010" i="2"/>
  <c r="I1028" i="2"/>
  <c r="K1028" i="2"/>
  <c r="M1028" i="2"/>
  <c r="O1028" i="2"/>
  <c r="I1029" i="2"/>
  <c r="P1029" i="2"/>
  <c r="K1033" i="2"/>
  <c r="P1033" i="2"/>
  <c r="J1034" i="2"/>
  <c r="L1034" i="2"/>
  <c r="N1034" i="2"/>
  <c r="P1034" i="2"/>
  <c r="L1039" i="2"/>
  <c r="K1041" i="2"/>
  <c r="M1041" i="2"/>
  <c r="O1041" i="2"/>
  <c r="M1046" i="2"/>
  <c r="P1046" i="2"/>
  <c r="M986" i="2"/>
  <c r="K986" i="2"/>
  <c r="L986" i="2"/>
  <c r="J986" i="2"/>
  <c r="M964" i="2"/>
  <c r="J969" i="2"/>
  <c r="M969" i="2"/>
  <c r="I970" i="2"/>
  <c r="L970" i="2"/>
  <c r="N970" i="2"/>
  <c r="J978" i="2"/>
  <c r="L978" i="2"/>
  <c r="I979" i="2"/>
  <c r="K979" i="2"/>
  <c r="J980" i="2"/>
  <c r="L980" i="2"/>
  <c r="L984" i="2"/>
  <c r="J985" i="2"/>
  <c r="M985" i="2"/>
  <c r="M989" i="2"/>
  <c r="J996" i="2"/>
  <c r="L996" i="2"/>
  <c r="N996" i="2"/>
  <c r="I997" i="2"/>
  <c r="I1003" i="2"/>
  <c r="K1003" i="2"/>
  <c r="M1003" i="2"/>
  <c r="I1010" i="2"/>
  <c r="K1010" i="2"/>
  <c r="M1010" i="2"/>
  <c r="J1028" i="2"/>
  <c r="L1028" i="2"/>
  <c r="N1028" i="2"/>
  <c r="J1033" i="2"/>
  <c r="K1034" i="2"/>
  <c r="M1034" i="2"/>
  <c r="J1041" i="2"/>
  <c r="L1041" i="2"/>
  <c r="N1041" i="2"/>
  <c r="O763" i="2"/>
  <c r="O750" i="2"/>
  <c r="N760" i="2"/>
  <c r="I714" i="2"/>
  <c r="K717" i="2"/>
  <c r="O746" i="2"/>
  <c r="K749" i="2"/>
  <c r="P755" i="2"/>
  <c r="P756" i="2"/>
  <c r="M757" i="2"/>
  <c r="O720" i="2"/>
  <c r="N714" i="2"/>
  <c r="I699" i="2"/>
  <c r="L698" i="2"/>
  <c r="P692" i="2"/>
  <c r="P690" i="2"/>
  <c r="K695" i="2"/>
  <c r="N686" i="2"/>
  <c r="N685" i="2"/>
  <c r="N687" i="2"/>
  <c r="N679" i="2"/>
  <c r="N674" i="2"/>
  <c r="N665" i="2"/>
  <c r="L656" i="2"/>
  <c r="N678" i="2"/>
  <c r="L675" i="2"/>
  <c r="N561" i="2"/>
  <c r="P611" i="2"/>
  <c r="P617" i="2"/>
  <c r="P625" i="2"/>
  <c r="K631" i="2"/>
  <c r="N636" i="2"/>
  <c r="O638" i="2"/>
  <c r="N644" i="2"/>
  <c r="I648" i="2"/>
  <c r="P587" i="2"/>
  <c r="P575" i="2"/>
  <c r="N597" i="2"/>
  <c r="N572" i="2"/>
  <c r="P566" i="2"/>
  <c r="P554" i="2"/>
  <c r="I548" i="2"/>
  <c r="L531" i="2"/>
  <c r="O761" i="2" l="1"/>
  <c r="I761" i="2"/>
  <c r="I756" i="2"/>
  <c r="N756" i="2"/>
  <c r="I679" i="2"/>
  <c r="L756" i="2"/>
  <c r="M529" i="2"/>
  <c r="O529" i="2"/>
  <c r="I529" i="2"/>
  <c r="P529" i="2"/>
  <c r="P754" i="2"/>
  <c r="K754" i="2"/>
  <c r="M754" i="2"/>
  <c r="J754" i="2"/>
  <c r="M534" i="2"/>
  <c r="J648" i="2"/>
  <c r="J755" i="2"/>
  <c r="J756" i="2"/>
  <c r="M756" i="2"/>
  <c r="N757" i="2"/>
  <c r="M760" i="2"/>
  <c r="P658" i="2"/>
  <c r="N658" i="2"/>
  <c r="L658" i="2"/>
  <c r="J658" i="2"/>
  <c r="O658" i="2"/>
  <c r="M658" i="2"/>
  <c r="K658" i="2"/>
  <c r="I658" i="2"/>
  <c r="O770" i="2"/>
  <c r="M770" i="2"/>
  <c r="K770" i="2"/>
  <c r="I770" i="2"/>
  <c r="P770" i="2"/>
  <c r="N770" i="2"/>
  <c r="L770" i="2"/>
  <c r="J770" i="2"/>
  <c r="N766" i="2"/>
  <c r="M766" i="2"/>
  <c r="I755" i="2"/>
  <c r="K679" i="2"/>
  <c r="O679" i="2"/>
  <c r="M679" i="2"/>
  <c r="P753" i="2"/>
  <c r="K753" i="2"/>
  <c r="M753" i="2"/>
  <c r="J753" i="2"/>
  <c r="I746" i="2"/>
  <c r="M746" i="2"/>
  <c r="J749" i="2"/>
  <c r="L749" i="2"/>
  <c r="I750" i="2"/>
  <c r="L750" i="2"/>
  <c r="N750" i="2"/>
  <c r="K746" i="2"/>
  <c r="P746" i="2"/>
  <c r="K750" i="2"/>
  <c r="M750" i="2"/>
  <c r="J679" i="2"/>
  <c r="L679" i="2"/>
  <c r="J687" i="2"/>
  <c r="M687" i="2"/>
  <c r="I690" i="2"/>
  <c r="O690" i="2"/>
  <c r="J695" i="2"/>
  <c r="K687" i="2"/>
  <c r="L690" i="2"/>
  <c r="L695" i="2"/>
  <c r="L692" i="2"/>
  <c r="N692" i="2"/>
  <c r="O699" i="2"/>
  <c r="K690" i="2"/>
  <c r="N690" i="2"/>
  <c r="I692" i="2"/>
  <c r="M692" i="2"/>
  <c r="J746" i="2"/>
  <c r="L746" i="2"/>
  <c r="K699" i="2"/>
  <c r="M699" i="2"/>
  <c r="P699" i="2"/>
  <c r="K714" i="2"/>
  <c r="I717" i="2"/>
  <c r="M717" i="2"/>
  <c r="M720" i="2"/>
  <c r="N720" i="2"/>
  <c r="J699" i="2"/>
  <c r="L699" i="2"/>
  <c r="J714" i="2"/>
  <c r="J685" i="2"/>
  <c r="M685" i="2"/>
  <c r="J686" i="2"/>
  <c r="M686" i="2"/>
  <c r="K685" i="2"/>
  <c r="K686" i="2"/>
  <c r="O678" i="2"/>
  <c r="M665" i="2"/>
  <c r="O665" i="2"/>
  <c r="I674" i="2"/>
  <c r="K674" i="2"/>
  <c r="M674" i="2"/>
  <c r="P674" i="2"/>
  <c r="J674" i="2"/>
  <c r="L674" i="2"/>
  <c r="O674" i="2"/>
  <c r="I611" i="2"/>
  <c r="K611" i="2"/>
  <c r="M611" i="2"/>
  <c r="O611" i="2"/>
  <c r="J617" i="2"/>
  <c r="L617" i="2"/>
  <c r="N617" i="2"/>
  <c r="K625" i="2"/>
  <c r="J631" i="2"/>
  <c r="M636" i="2"/>
  <c r="J638" i="2"/>
  <c r="L638" i="2"/>
  <c r="N638" i="2"/>
  <c r="P638" i="2"/>
  <c r="I644" i="2"/>
  <c r="L644" i="2"/>
  <c r="O644" i="2"/>
  <c r="J611" i="2"/>
  <c r="L611" i="2"/>
  <c r="N611" i="2"/>
  <c r="K617" i="2"/>
  <c r="M617" i="2"/>
  <c r="I625" i="2"/>
  <c r="I638" i="2"/>
  <c r="K638" i="2"/>
  <c r="M638" i="2"/>
  <c r="K644" i="2"/>
  <c r="K575" i="2"/>
  <c r="J587" i="2"/>
  <c r="O587" i="2"/>
  <c r="I597" i="2"/>
  <c r="K597" i="2"/>
  <c r="M597" i="2"/>
  <c r="P597" i="2"/>
  <c r="I587" i="2"/>
  <c r="K587" i="2"/>
  <c r="J597" i="2"/>
  <c r="L597" i="2"/>
  <c r="I554" i="2"/>
  <c r="K554" i="2"/>
  <c r="M554" i="2"/>
  <c r="O554" i="2"/>
  <c r="I566" i="2"/>
  <c r="K566" i="2"/>
  <c r="M566" i="2"/>
  <c r="M572" i="2"/>
  <c r="J554" i="2"/>
  <c r="L554" i="2"/>
  <c r="N554" i="2"/>
  <c r="J566" i="2"/>
  <c r="L566" i="2"/>
  <c r="J529" i="2"/>
  <c r="N529" i="2"/>
  <c r="N533" i="2"/>
  <c r="M533" i="2"/>
  <c r="P521" i="2"/>
  <c r="O521" i="2"/>
  <c r="K519" i="2"/>
  <c r="P1055" i="2"/>
  <c r="O1058" i="2"/>
  <c r="P506" i="2"/>
  <c r="L505" i="2"/>
  <c r="K505" i="2"/>
  <c r="K493" i="2"/>
  <c r="P483" i="2"/>
  <c r="J481" i="2"/>
  <c r="L483" i="2"/>
  <c r="O486" i="2"/>
  <c r="O477" i="2"/>
  <c r="L471" i="2"/>
  <c r="O457" i="2"/>
  <c r="N461" i="2"/>
  <c r="K483" i="2" l="1"/>
  <c r="O454" i="2"/>
  <c r="M454" i="2"/>
  <c r="K454" i="2"/>
  <c r="I454" i="2"/>
  <c r="P454" i="2"/>
  <c r="N454" i="2"/>
  <c r="L454" i="2"/>
  <c r="J454" i="2"/>
  <c r="O481" i="2"/>
  <c r="P481" i="2"/>
  <c r="P480" i="2"/>
  <c r="M1051" i="2"/>
  <c r="K1051" i="2"/>
  <c r="L1051" i="2"/>
  <c r="J1051" i="2"/>
  <c r="L1049" i="2"/>
  <c r="P1049" i="2"/>
  <c r="I1049" i="2"/>
  <c r="I1047" i="2"/>
  <c r="K1047" i="2"/>
  <c r="P520" i="2"/>
  <c r="N534" i="2"/>
  <c r="J520" i="2"/>
  <c r="O520" i="2"/>
  <c r="K520" i="2"/>
  <c r="P522" i="2"/>
  <c r="O522" i="2"/>
  <c r="N516" i="2"/>
  <c r="I520" i="2"/>
  <c r="L520" i="2"/>
  <c r="N520" i="2"/>
  <c r="J1058" i="2"/>
  <c r="N1058" i="2"/>
  <c r="P1058" i="2"/>
  <c r="I1055" i="2"/>
  <c r="M1058" i="2"/>
  <c r="K480" i="2"/>
  <c r="M480" i="2"/>
  <c r="O480" i="2"/>
  <c r="J486" i="2"/>
  <c r="N486" i="2"/>
  <c r="P486" i="2"/>
  <c r="J493" i="2"/>
  <c r="L493" i="2"/>
  <c r="I506" i="2"/>
  <c r="K506" i="2"/>
  <c r="M506" i="2"/>
  <c r="O506" i="2"/>
  <c r="I480" i="2"/>
  <c r="L480" i="2"/>
  <c r="N480" i="2"/>
  <c r="I481" i="2"/>
  <c r="L481" i="2"/>
  <c r="I483" i="2"/>
  <c r="I486" i="2"/>
  <c r="M486" i="2"/>
  <c r="J506" i="2"/>
  <c r="L506" i="2"/>
  <c r="N506" i="2"/>
  <c r="I457" i="2"/>
  <c r="P457" i="2"/>
  <c r="L461" i="2"/>
  <c r="K471" i="2"/>
  <c r="I477" i="2"/>
  <c r="K477" i="2"/>
  <c r="M477" i="2"/>
  <c r="P477" i="2"/>
  <c r="K461" i="2"/>
  <c r="J477" i="2"/>
  <c r="L477" i="2"/>
  <c r="I452" i="2"/>
  <c r="P452" i="2"/>
  <c r="I1083" i="2"/>
  <c r="L1084" i="2"/>
  <c r="N1085" i="2"/>
  <c r="O1087" i="2"/>
  <c r="P1088" i="2"/>
  <c r="O1103" i="2"/>
  <c r="I1092" i="2"/>
  <c r="N1094" i="2"/>
  <c r="O1096" i="2"/>
  <c r="P1098" i="2"/>
  <c r="P1099" i="2"/>
  <c r="P1100" i="2"/>
  <c r="J1109" i="2"/>
  <c r="P1117" i="2"/>
  <c r="M1110" i="2"/>
  <c r="J1113" i="2"/>
  <c r="P1114" i="2"/>
  <c r="O1118" i="2"/>
  <c r="P1119" i="2"/>
  <c r="J1120" i="2"/>
  <c r="N1122" i="2"/>
  <c r="P1123" i="2"/>
  <c r="K1132" i="2"/>
  <c r="P1150" i="2"/>
  <c r="O1152" i="2"/>
  <c r="N1138" i="2"/>
  <c r="M1179" i="2"/>
  <c r="O1160" i="2"/>
  <c r="M1170" i="2"/>
  <c r="O1175" i="2"/>
  <c r="O1181" i="2"/>
  <c r="P1184" i="2"/>
  <c r="M520" i="2" l="1"/>
  <c r="O516" i="2"/>
  <c r="M516" i="2"/>
  <c r="P516" i="2"/>
  <c r="L1184" i="2"/>
  <c r="J1184" i="2"/>
  <c r="O1184" i="2"/>
  <c r="N1076" i="2"/>
  <c r="O1076" i="2"/>
  <c r="P1072" i="2"/>
  <c r="L1072" i="2"/>
  <c r="O1072" i="2"/>
  <c r="K1072" i="2"/>
  <c r="P1068" i="2"/>
  <c r="M1068" i="2"/>
  <c r="K1068" i="2"/>
  <c r="I1068" i="2"/>
  <c r="O1068" i="2"/>
  <c r="L1068" i="2"/>
  <c r="J1068" i="2"/>
  <c r="P1077" i="2"/>
  <c r="L1077" i="2"/>
  <c r="J1077" i="2"/>
  <c r="O1077" i="2"/>
  <c r="K1077" i="2"/>
  <c r="N1065" i="2"/>
  <c r="M1065" i="2"/>
  <c r="K1184" i="2"/>
  <c r="N1184" i="2"/>
  <c r="J1181" i="2"/>
  <c r="N1181" i="2"/>
  <c r="P1181" i="2"/>
  <c r="L1179" i="2"/>
  <c r="L1175" i="2"/>
  <c r="P1175" i="2"/>
  <c r="N1160" i="2"/>
  <c r="K1152" i="2"/>
  <c r="M1152" i="2"/>
  <c r="P1152" i="2"/>
  <c r="I1150" i="2"/>
  <c r="M1150" i="2"/>
  <c r="O1150" i="2"/>
  <c r="J1138" i="2"/>
  <c r="O1138" i="2"/>
  <c r="J1132" i="2"/>
  <c r="L1132" i="2"/>
  <c r="O1123" i="2"/>
  <c r="M1122" i="2"/>
  <c r="K1119" i="2"/>
  <c r="M1119" i="2"/>
  <c r="O1119" i="2"/>
  <c r="I1118" i="2"/>
  <c r="K1118" i="2"/>
  <c r="N1118" i="2"/>
  <c r="P1118" i="2"/>
  <c r="I1114" i="2"/>
  <c r="K1114" i="2"/>
  <c r="M1114" i="2"/>
  <c r="O1114" i="2"/>
  <c r="O1113" i="2"/>
  <c r="J1110" i="2"/>
  <c r="L1110" i="2"/>
  <c r="J1103" i="2"/>
  <c r="L1103" i="2"/>
  <c r="N1103" i="2"/>
  <c r="P1103" i="2"/>
  <c r="I1099" i="2"/>
  <c r="K1099" i="2"/>
  <c r="M1099" i="2"/>
  <c r="O1099" i="2"/>
  <c r="I1098" i="2"/>
  <c r="K1098" i="2"/>
  <c r="O1098" i="2"/>
  <c r="J1096" i="2"/>
  <c r="L1096" i="2"/>
  <c r="N1096" i="2"/>
  <c r="P1096" i="2"/>
  <c r="L1094" i="2"/>
  <c r="O1094" i="2"/>
  <c r="I1088" i="2"/>
  <c r="K1088" i="2"/>
  <c r="M1088" i="2"/>
  <c r="O1088" i="2"/>
  <c r="I1087" i="2"/>
  <c r="M1087" i="2"/>
  <c r="P1087" i="2"/>
  <c r="O1085" i="2"/>
  <c r="K1084" i="2"/>
  <c r="I1181" i="2"/>
  <c r="K1181" i="2"/>
  <c r="K1175" i="2"/>
  <c r="M1160" i="2"/>
  <c r="J1152" i="2"/>
  <c r="L1152" i="2"/>
  <c r="L1150" i="2"/>
  <c r="N1150" i="2"/>
  <c r="I1123" i="2"/>
  <c r="I1119" i="2"/>
  <c r="L1119" i="2"/>
  <c r="N1119" i="2"/>
  <c r="J1118" i="2"/>
  <c r="M1118" i="2"/>
  <c r="J1114" i="2"/>
  <c r="L1114" i="2"/>
  <c r="N1114" i="2"/>
  <c r="K1110" i="2"/>
  <c r="I1103" i="2"/>
  <c r="K1103" i="2"/>
  <c r="M1103" i="2"/>
  <c r="J1099" i="2"/>
  <c r="L1099" i="2"/>
  <c r="N1099" i="2"/>
  <c r="J1098" i="2"/>
  <c r="L1098" i="2"/>
  <c r="I1096" i="2"/>
  <c r="K1096" i="2"/>
  <c r="M1096" i="2"/>
  <c r="J1094" i="2"/>
  <c r="J1088" i="2"/>
  <c r="L1088" i="2"/>
  <c r="N1088" i="2"/>
  <c r="L1087" i="2"/>
  <c r="J1117" i="2"/>
  <c r="M1117" i="2"/>
  <c r="O1117" i="2"/>
  <c r="I1117" i="2"/>
  <c r="K1117" i="2"/>
  <c r="N1117" i="2"/>
  <c r="O429" i="2"/>
  <c r="P424" i="2"/>
  <c r="M431" i="2"/>
  <c r="P441" i="2"/>
  <c r="N407" i="2"/>
  <c r="O392" i="2"/>
  <c r="O399" i="2"/>
  <c r="L406" i="2"/>
  <c r="I411" i="2"/>
  <c r="M414" i="2"/>
  <c r="L418" i="2"/>
  <c r="P419" i="2"/>
  <c r="O377" i="2"/>
  <c r="P355" i="2"/>
  <c r="O365" i="2"/>
  <c r="N368" i="2"/>
  <c r="O384" i="2"/>
  <c r="K379" i="2"/>
  <c r="O386" i="2"/>
  <c r="M320" i="2"/>
  <c r="P327" i="2"/>
  <c r="L335" i="2"/>
  <c r="P339" i="2"/>
  <c r="P346" i="2"/>
  <c r="O347" i="2"/>
  <c r="I297" i="2"/>
  <c r="O306" i="2"/>
  <c r="K308" i="2"/>
  <c r="N278" i="2"/>
  <c r="L277" i="2"/>
  <c r="N282" i="2"/>
  <c r="N290" i="2"/>
  <c r="N272" i="2"/>
  <c r="O269" i="2"/>
  <c r="M445" i="2" l="1"/>
  <c r="J445" i="2"/>
  <c r="P445" i="2"/>
  <c r="L445" i="2"/>
  <c r="I445" i="2"/>
  <c r="N400" i="2"/>
  <c r="L296" i="2"/>
  <c r="O319" i="2"/>
  <c r="P410" i="2"/>
  <c r="M421" i="2"/>
  <c r="M290" i="2"/>
  <c r="K296" i="2"/>
  <c r="I306" i="2"/>
  <c r="K306" i="2"/>
  <c r="N306" i="2"/>
  <c r="J308" i="2"/>
  <c r="N319" i="2"/>
  <c r="L320" i="2"/>
  <c r="I327" i="2"/>
  <c r="K327" i="2"/>
  <c r="M327" i="2"/>
  <c r="O327" i="2"/>
  <c r="I339" i="2"/>
  <c r="J346" i="2"/>
  <c r="N346" i="2"/>
  <c r="J347" i="2"/>
  <c r="N347" i="2"/>
  <c r="K377" i="2"/>
  <c r="M377" i="2"/>
  <c r="P377" i="2"/>
  <c r="K368" i="2"/>
  <c r="M368" i="2"/>
  <c r="P368" i="2"/>
  <c r="O355" i="2"/>
  <c r="N365" i="2"/>
  <c r="P365" i="2"/>
  <c r="I386" i="2"/>
  <c r="K386" i="2"/>
  <c r="M386" i="2"/>
  <c r="P386" i="2"/>
  <c r="M392" i="2"/>
  <c r="P392" i="2"/>
  <c r="L399" i="2"/>
  <c r="N399" i="2"/>
  <c r="K400" i="2"/>
  <c r="K406" i="2"/>
  <c r="N406" i="2"/>
  <c r="M410" i="2"/>
  <c r="O410" i="2"/>
  <c r="L414" i="2"/>
  <c r="J419" i="2"/>
  <c r="L419" i="2"/>
  <c r="N419" i="2"/>
  <c r="J421" i="2"/>
  <c r="L421" i="2"/>
  <c r="K424" i="2"/>
  <c r="O424" i="2"/>
  <c r="P429" i="2"/>
  <c r="L431" i="2"/>
  <c r="J441" i="2"/>
  <c r="M441" i="2"/>
  <c r="J296" i="2"/>
  <c r="J306" i="2"/>
  <c r="M306" i="2"/>
  <c r="I308" i="2"/>
  <c r="K320" i="2"/>
  <c r="J327" i="2"/>
  <c r="L327" i="2"/>
  <c r="N327" i="2"/>
  <c r="I346" i="2"/>
  <c r="M346" i="2"/>
  <c r="I347" i="2"/>
  <c r="M347" i="2"/>
  <c r="J377" i="2"/>
  <c r="L377" i="2"/>
  <c r="J368" i="2"/>
  <c r="L368" i="2"/>
  <c r="J386" i="2"/>
  <c r="L386" i="2"/>
  <c r="N386" i="2"/>
  <c r="M399" i="2"/>
  <c r="J400" i="2"/>
  <c r="J406" i="2"/>
  <c r="I410" i="2"/>
  <c r="N410" i="2"/>
  <c r="K414" i="2"/>
  <c r="K419" i="2"/>
  <c r="M419" i="2"/>
  <c r="K421" i="2"/>
  <c r="L424" i="2"/>
  <c r="I441" i="2"/>
  <c r="L441" i="2"/>
  <c r="J272" i="2"/>
  <c r="M272" i="2"/>
  <c r="K277" i="2"/>
  <c r="M277" i="2"/>
  <c r="I278" i="2"/>
  <c r="M278" i="2"/>
  <c r="P278" i="2"/>
  <c r="M282" i="2"/>
  <c r="I272" i="2"/>
  <c r="K272" i="2"/>
  <c r="L278" i="2"/>
  <c r="J407" i="2"/>
  <c r="L407" i="2"/>
  <c r="K407" i="2"/>
  <c r="N384" i="2"/>
  <c r="P384" i="2"/>
  <c r="N379" i="2"/>
  <c r="J379" i="2"/>
  <c r="I384" i="2"/>
  <c r="I379" i="2"/>
  <c r="N380" i="2"/>
  <c r="J380" i="2"/>
  <c r="K380" i="2"/>
  <c r="I380" i="2"/>
  <c r="N381" i="2"/>
  <c r="J381" i="2"/>
  <c r="K381" i="2"/>
  <c r="I381" i="2"/>
  <c r="P264" i="2"/>
  <c r="O268" i="2"/>
  <c r="P239" i="2"/>
  <c r="K230" i="2"/>
  <c r="K225" i="2"/>
  <c r="O212" i="2"/>
  <c r="K213" i="2"/>
  <c r="P203" i="2"/>
  <c r="I203" i="2"/>
  <c r="N202" i="2"/>
  <c r="M203" i="2"/>
  <c r="M204" i="2"/>
  <c r="P184" i="2"/>
  <c r="P178" i="2"/>
  <c r="P173" i="2"/>
  <c r="M173" i="2"/>
  <c r="K173" i="2"/>
  <c r="O170" i="2"/>
  <c r="M170" i="2"/>
  <c r="K170" i="2"/>
  <c r="I170" i="2"/>
  <c r="O173" i="2"/>
  <c r="O174" i="2"/>
  <c r="P170" i="2"/>
  <c r="O168" i="2"/>
  <c r="P164" i="2"/>
  <c r="I153" i="2"/>
  <c r="J153" i="2"/>
  <c r="I149" i="2"/>
  <c r="P147" i="2"/>
  <c r="N137" i="2"/>
  <c r="N135" i="2"/>
  <c r="P160" i="2"/>
  <c r="O122" i="2"/>
  <c r="P119" i="2"/>
  <c r="O114" i="2"/>
  <c r="P109" i="2"/>
  <c r="N103" i="2"/>
  <c r="K90" i="2"/>
  <c r="K82" i="2"/>
  <c r="P77" i="2"/>
  <c r="L78" i="2"/>
  <c r="L74" i="2"/>
  <c r="J72" i="2"/>
  <c r="N70" i="2"/>
  <c r="M69" i="2"/>
  <c r="O66" i="2"/>
  <c r="K67" i="2"/>
  <c r="I109" i="2" l="1"/>
  <c r="I122" i="2"/>
  <c r="N149" i="2"/>
  <c r="O184" i="2"/>
  <c r="N184" i="2"/>
  <c r="K149" i="2"/>
  <c r="P88" i="2"/>
  <c r="O88" i="2"/>
  <c r="O113" i="2"/>
  <c r="M113" i="2"/>
  <c r="N206" i="2"/>
  <c r="I247" i="2"/>
  <c r="P214" i="2"/>
  <c r="O225" i="2"/>
  <c r="N234" i="2"/>
  <c r="P242" i="2"/>
  <c r="I242" i="2"/>
  <c r="M70" i="2"/>
  <c r="I74" i="2"/>
  <c r="K74" i="2"/>
  <c r="I77" i="2"/>
  <c r="M77" i="2"/>
  <c r="K77" i="2"/>
  <c r="O77" i="2"/>
  <c r="M88" i="2"/>
  <c r="M103" i="2"/>
  <c r="O103" i="2"/>
  <c r="K109" i="2"/>
  <c r="J113" i="2"/>
  <c r="J114" i="2"/>
  <c r="P114" i="2"/>
  <c r="K178" i="2"/>
  <c r="O178" i="2"/>
  <c r="K184" i="2"/>
  <c r="I202" i="2"/>
  <c r="P202" i="2"/>
  <c r="I204" i="2"/>
  <c r="P204" i="2"/>
  <c r="J206" i="2"/>
  <c r="O206" i="2"/>
  <c r="L210" i="2"/>
  <c r="J212" i="2"/>
  <c r="N212" i="2"/>
  <c r="P212" i="2"/>
  <c r="J213" i="2"/>
  <c r="M213" i="2"/>
  <c r="I214" i="2"/>
  <c r="K214" i="2"/>
  <c r="M214" i="2"/>
  <c r="O214" i="2"/>
  <c r="J225" i="2"/>
  <c r="I230" i="2"/>
  <c r="L234" i="2"/>
  <c r="I239" i="2"/>
  <c r="M239" i="2"/>
  <c r="O239" i="2"/>
  <c r="M265" i="2"/>
  <c r="I265" i="2"/>
  <c r="J265" i="2"/>
  <c r="I264" i="2"/>
  <c r="M264" i="2"/>
  <c r="I178" i="2"/>
  <c r="L178" i="2"/>
  <c r="I212" i="2"/>
  <c r="K212" i="2"/>
  <c r="I213" i="2"/>
  <c r="J214" i="2"/>
  <c r="L214" i="2"/>
  <c r="N214" i="2"/>
  <c r="J239" i="2"/>
  <c r="N239" i="2"/>
  <c r="J264" i="2"/>
  <c r="N147" i="2"/>
  <c r="K164" i="2"/>
  <c r="O164" i="2"/>
  <c r="K168" i="2"/>
  <c r="P168" i="2"/>
  <c r="J174" i="2"/>
  <c r="L174" i="2"/>
  <c r="M147" i="2"/>
  <c r="J149" i="2"/>
  <c r="I164" i="2"/>
  <c r="N164" i="2"/>
  <c r="J168" i="2"/>
  <c r="J170" i="2"/>
  <c r="L170" i="2"/>
  <c r="N170" i="2"/>
  <c r="I173" i="2"/>
  <c r="L173" i="2"/>
  <c r="K174" i="2"/>
  <c r="L103" i="2"/>
  <c r="J109" i="2"/>
  <c r="L109" i="2"/>
  <c r="O109" i="2"/>
  <c r="I113" i="2"/>
  <c r="L113" i="2"/>
  <c r="N113" i="2"/>
  <c r="I119" i="2"/>
  <c r="K119" i="2"/>
  <c r="M119" i="2"/>
  <c r="O119" i="2"/>
  <c r="J122" i="2"/>
  <c r="N122" i="2"/>
  <c r="L122" i="2"/>
  <c r="J135" i="2"/>
  <c r="M135" i="2"/>
  <c r="O135" i="2"/>
  <c r="I137" i="2"/>
  <c r="M137" i="2"/>
  <c r="O137" i="2"/>
  <c r="M109" i="2"/>
  <c r="J119" i="2"/>
  <c r="L119" i="2"/>
  <c r="N119" i="2"/>
  <c r="K122" i="2"/>
  <c r="I135" i="2"/>
  <c r="K135" i="2"/>
  <c r="L137" i="2"/>
  <c r="P72" i="2"/>
  <c r="I72" i="2"/>
  <c r="O72" i="2"/>
  <c r="J74" i="2"/>
  <c r="J77" i="2"/>
  <c r="L77" i="2"/>
  <c r="N77" i="2"/>
  <c r="K78" i="2"/>
  <c r="M78" i="2"/>
  <c r="J82" i="2"/>
  <c r="I88" i="2"/>
  <c r="N88" i="2"/>
  <c r="J90" i="2"/>
  <c r="N90" i="2"/>
  <c r="I90" i="2"/>
  <c r="O160" i="2"/>
  <c r="N160" i="2"/>
  <c r="O123" i="2"/>
  <c r="L123" i="2"/>
  <c r="J123" i="2"/>
  <c r="N123" i="2"/>
  <c r="K123" i="2"/>
  <c r="I123" i="2"/>
  <c r="P1106" i="2"/>
  <c r="O1101" i="2"/>
  <c r="P1066" i="2"/>
  <c r="M821" i="2"/>
  <c r="M523" i="2"/>
  <c r="M511" i="2"/>
  <c r="P401" i="2"/>
  <c r="P286" i="2"/>
  <c r="P158" i="2"/>
  <c r="N101" i="2"/>
  <c r="P237" i="2"/>
  <c r="J507" i="2"/>
  <c r="O229" i="2"/>
  <c r="I1008" i="2"/>
  <c r="M823" i="2"/>
  <c r="O373" i="2"/>
  <c r="P652" i="2"/>
  <c r="L922" i="2"/>
  <c r="L482" i="2"/>
  <c r="O301" i="2"/>
  <c r="N849" i="2"/>
  <c r="K108" i="2"/>
  <c r="L524" i="2"/>
  <c r="O276" i="2"/>
  <c r="O1082" i="2"/>
  <c r="P747" i="2"/>
  <c r="I169" i="2" l="1"/>
  <c r="L375" i="2"/>
  <c r="M201" i="2"/>
  <c r="K201" i="2"/>
  <c r="I210" i="2"/>
  <c r="M210" i="2"/>
  <c r="M234" i="2"/>
  <c r="P234" i="2"/>
  <c r="I234" i="2"/>
  <c r="L201" i="2"/>
  <c r="P210" i="2"/>
  <c r="P169" i="2"/>
  <c r="K1106" i="2"/>
  <c r="M1106" i="2"/>
  <c r="O1106" i="2"/>
  <c r="I1106" i="2"/>
  <c r="L1106" i="2"/>
  <c r="N1106" i="2"/>
  <c r="K1101" i="2"/>
  <c r="N1101" i="2"/>
  <c r="P1101" i="2"/>
  <c r="J1101" i="2"/>
  <c r="L1101" i="2"/>
  <c r="K1066" i="2"/>
  <c r="M1066" i="2"/>
  <c r="O1066" i="2"/>
  <c r="I1066" i="2"/>
  <c r="L1066" i="2"/>
  <c r="N1066" i="2"/>
  <c r="P1061" i="2"/>
  <c r="M1061" i="2"/>
  <c r="J1061" i="2"/>
  <c r="N1061" i="2"/>
  <c r="K1061" i="2"/>
  <c r="I1061" i="2"/>
  <c r="P1062" i="2"/>
  <c r="M1062" i="2"/>
  <c r="J1062" i="2"/>
  <c r="N1062" i="2"/>
  <c r="K1062" i="2"/>
  <c r="I1062" i="2"/>
  <c r="P1054" i="2"/>
  <c r="N1054" i="2"/>
  <c r="O1054" i="2"/>
  <c r="M1054" i="2"/>
  <c r="P1053" i="2"/>
  <c r="N1053" i="2"/>
  <c r="O1053" i="2"/>
  <c r="M1053" i="2"/>
  <c r="L821" i="2"/>
  <c r="N821" i="2"/>
  <c r="J821" i="2"/>
  <c r="P764" i="2"/>
  <c r="N764" i="2"/>
  <c r="I764" i="2"/>
  <c r="O764" i="2"/>
  <c r="M764" i="2"/>
  <c r="P741" i="2"/>
  <c r="J741" i="2"/>
  <c r="M741" i="2"/>
  <c r="I741" i="2"/>
  <c r="P742" i="2"/>
  <c r="J742" i="2"/>
  <c r="M742" i="2"/>
  <c r="I742" i="2"/>
  <c r="P661" i="2"/>
  <c r="N661" i="2"/>
  <c r="O661" i="2"/>
  <c r="I661" i="2"/>
  <c r="P595" i="2"/>
  <c r="N595" i="2"/>
  <c r="O595" i="2"/>
  <c r="I595" i="2"/>
  <c r="J523" i="2"/>
  <c r="L523" i="2"/>
  <c r="I523" i="2"/>
  <c r="K523" i="2"/>
  <c r="L511" i="2"/>
  <c r="P490" i="2"/>
  <c r="M490" i="2"/>
  <c r="K490" i="2"/>
  <c r="O490" i="2"/>
  <c r="L490" i="2"/>
  <c r="I490" i="2"/>
  <c r="J401" i="2"/>
  <c r="L401" i="2"/>
  <c r="N401" i="2"/>
  <c r="K401" i="2"/>
  <c r="M401" i="2"/>
  <c r="O285" i="2"/>
  <c r="M285" i="2"/>
  <c r="P285" i="2"/>
  <c r="N285" i="2"/>
  <c r="J285" i="2"/>
  <c r="M286" i="2"/>
  <c r="O286" i="2"/>
  <c r="J286" i="2"/>
  <c r="N286" i="2"/>
  <c r="L198" i="2"/>
  <c r="J198" i="2"/>
  <c r="K198" i="2"/>
  <c r="I198" i="2"/>
  <c r="J176" i="2"/>
  <c r="K176" i="2"/>
  <c r="I176" i="2"/>
  <c r="O158" i="2"/>
  <c r="N158" i="2"/>
  <c r="O758" i="2"/>
  <c r="M758" i="2"/>
  <c r="P758" i="2"/>
  <c r="N758" i="2"/>
  <c r="L758" i="2"/>
  <c r="P716" i="2"/>
  <c r="N716" i="2"/>
  <c r="L716" i="2"/>
  <c r="J716" i="2"/>
  <c r="O716" i="2"/>
  <c r="M716" i="2"/>
  <c r="K716" i="2"/>
  <c r="I716" i="2"/>
  <c r="P845" i="2"/>
  <c r="N845" i="2"/>
  <c r="L845" i="2"/>
  <c r="J845" i="2"/>
  <c r="O845" i="2"/>
  <c r="M845" i="2"/>
  <c r="K845" i="2"/>
  <c r="I845" i="2"/>
  <c r="P663" i="2"/>
  <c r="N663" i="2"/>
  <c r="L663" i="2"/>
  <c r="J663" i="2"/>
  <c r="O663" i="2"/>
  <c r="M663" i="2"/>
  <c r="K663" i="2"/>
  <c r="I663" i="2"/>
  <c r="P918" i="2"/>
  <c r="N918" i="2"/>
  <c r="L918" i="2"/>
  <c r="J918" i="2"/>
  <c r="O918" i="2"/>
  <c r="M918" i="2"/>
  <c r="K918" i="2"/>
  <c r="I918" i="2"/>
  <c r="K316" i="2"/>
  <c r="L316" i="2"/>
  <c r="J316" i="2"/>
  <c r="P248" i="2"/>
  <c r="N248" i="2"/>
  <c r="L910" i="2"/>
  <c r="J910" i="2"/>
  <c r="K910" i="2"/>
  <c r="I910" i="2"/>
  <c r="P547" i="2"/>
  <c r="K547" i="2"/>
  <c r="I547" i="2"/>
  <c r="O547" i="2"/>
  <c r="J547" i="2"/>
  <c r="N413" i="2"/>
  <c r="L413" i="2"/>
  <c r="M413" i="2"/>
  <c r="K413" i="2"/>
  <c r="P1086" i="2"/>
  <c r="M1086" i="2"/>
  <c r="K1086" i="2"/>
  <c r="I1086" i="2"/>
  <c r="N1086" i="2"/>
  <c r="L1086" i="2"/>
  <c r="J1086" i="2"/>
  <c r="N100" i="2"/>
  <c r="K100" i="2"/>
  <c r="M100" i="2"/>
  <c r="P364" i="2"/>
  <c r="N364" i="2"/>
  <c r="L364" i="2"/>
  <c r="J364" i="2"/>
  <c r="O364" i="2"/>
  <c r="M364" i="2"/>
  <c r="K364" i="2"/>
  <c r="I364" i="2"/>
  <c r="P190" i="2"/>
  <c r="M190" i="2"/>
  <c r="N190" i="2"/>
  <c r="O190" i="2"/>
  <c r="I190" i="2"/>
  <c r="J301" i="2"/>
  <c r="P301" i="2"/>
  <c r="J229" i="2"/>
  <c r="L229" i="2"/>
  <c r="N229" i="2"/>
  <c r="P229" i="2"/>
  <c r="M849" i="2"/>
  <c r="J108" i="2"/>
  <c r="L108" i="2"/>
  <c r="I524" i="2"/>
  <c r="K524" i="2"/>
  <c r="M524" i="2"/>
  <c r="J276" i="2"/>
  <c r="P276" i="2"/>
  <c r="N276" i="2"/>
  <c r="I1082" i="2"/>
  <c r="K1082" i="2"/>
  <c r="N1082" i="2"/>
  <c r="P1082" i="2"/>
  <c r="O747" i="2"/>
  <c r="K507" i="2"/>
  <c r="J373" i="2"/>
  <c r="N373" i="2"/>
  <c r="P373" i="2"/>
  <c r="I237" i="2"/>
  <c r="K237" i="2"/>
  <c r="O237" i="2"/>
  <c r="J652" i="2"/>
  <c r="L652" i="2"/>
  <c r="O652" i="2"/>
  <c r="I248" i="2"/>
  <c r="O248" i="2"/>
  <c r="O430" i="2"/>
  <c r="L430" i="2"/>
  <c r="J430" i="2"/>
  <c r="P430" i="2"/>
  <c r="M430" i="2"/>
  <c r="K430" i="2"/>
  <c r="P543" i="2"/>
  <c r="M543" i="2"/>
  <c r="K543" i="2"/>
  <c r="I543" i="2"/>
  <c r="O543" i="2"/>
  <c r="L543" i="2"/>
  <c r="J543" i="2"/>
  <c r="N1164" i="2"/>
  <c r="L1164" i="2"/>
  <c r="J1164" i="2"/>
  <c r="P1164" i="2"/>
  <c r="M1164" i="2"/>
  <c r="K1164" i="2"/>
  <c r="P1075" i="2"/>
  <c r="N1075" i="2"/>
  <c r="K1075" i="2"/>
  <c r="O1075" i="2"/>
  <c r="L1075" i="2"/>
  <c r="J1075" i="2"/>
  <c r="O250" i="2"/>
  <c r="K250" i="2"/>
  <c r="I250" i="2"/>
  <c r="N250" i="2"/>
  <c r="J250" i="2"/>
  <c r="N718" i="2"/>
  <c r="I718" i="2"/>
  <c r="J718" i="2"/>
  <c r="N1121" i="2"/>
  <c r="L1121" i="2"/>
  <c r="O1121" i="2"/>
  <c r="M1121" i="2"/>
  <c r="K1121" i="2"/>
  <c r="O831" i="2"/>
  <c r="M831" i="2"/>
  <c r="J831" i="2"/>
  <c r="P831" i="2"/>
  <c r="N831" i="2"/>
  <c r="L831" i="2"/>
  <c r="I831" i="2"/>
  <c r="I796" i="2"/>
  <c r="J796" i="2"/>
  <c r="O596" i="2"/>
  <c r="I596" i="2"/>
  <c r="P596" i="2"/>
  <c r="N596" i="2"/>
  <c r="P722" i="2"/>
  <c r="L722" i="2"/>
  <c r="I722" i="2"/>
  <c r="M722" i="2"/>
  <c r="J722" i="2"/>
  <c r="P837" i="2"/>
  <c r="M837" i="2"/>
  <c r="I837" i="2"/>
  <c r="N837" i="2"/>
  <c r="J837" i="2"/>
  <c r="P369" i="2"/>
  <c r="N369" i="2"/>
  <c r="K369" i="2"/>
  <c r="O369" i="2"/>
  <c r="M369" i="2"/>
  <c r="J369" i="2"/>
  <c r="K604" i="2"/>
  <c r="P604" i="2"/>
  <c r="I604" i="2"/>
  <c r="I301" i="2"/>
  <c r="K229" i="2"/>
  <c r="M229" i="2"/>
  <c r="L849" i="2"/>
  <c r="I108" i="2"/>
  <c r="J524" i="2"/>
  <c r="I276" i="2"/>
  <c r="K276" i="2"/>
  <c r="J1082" i="2"/>
  <c r="M1082" i="2"/>
  <c r="N747" i="2"/>
  <c r="K373" i="2"/>
  <c r="J237" i="2"/>
  <c r="N237" i="2"/>
  <c r="I652" i="2"/>
  <c r="K652" i="2"/>
  <c r="N652" i="2"/>
  <c r="M248" i="2"/>
  <c r="M101" i="2"/>
  <c r="K101" i="2"/>
  <c r="O334" i="2"/>
  <c r="K864" i="2"/>
  <c r="N1060" i="2"/>
  <c r="K635" i="2"/>
  <c r="P358" i="2"/>
  <c r="K427" i="2"/>
  <c r="N530" i="2"/>
  <c r="N711" i="2"/>
  <c r="L915" i="2"/>
  <c r="N627" i="2"/>
  <c r="J139" i="2"/>
  <c r="M387" i="2"/>
  <c r="P1000" i="2"/>
  <c r="P455" i="2"/>
  <c r="N616" i="2"/>
  <c r="P607" i="2"/>
  <c r="P326" i="2"/>
  <c r="O787" i="2"/>
  <c r="N653" i="2"/>
  <c r="L124" i="2"/>
  <c r="O1161" i="2"/>
  <c r="O563" i="2"/>
  <c r="M710" i="2"/>
  <c r="K143" i="2"/>
  <c r="K1143" i="2"/>
  <c r="L257" i="2"/>
  <c r="J873" i="2"/>
  <c r="K570" i="2"/>
  <c r="J593" i="2" l="1"/>
  <c r="N1151" i="2"/>
  <c r="O249" i="2"/>
  <c r="O977" i="2"/>
  <c r="J169" i="2"/>
  <c r="I249" i="2"/>
  <c r="K249" i="2"/>
  <c r="P977" i="2"/>
  <c r="P1144" i="2"/>
  <c r="N1144" i="2"/>
  <c r="L1144" i="2"/>
  <c r="J1144" i="2"/>
  <c r="O1144" i="2"/>
  <c r="M1144" i="2"/>
  <c r="K1144" i="2"/>
  <c r="O792" i="2"/>
  <c r="K792" i="2"/>
  <c r="I792" i="2"/>
  <c r="P792" i="2"/>
  <c r="L792" i="2"/>
  <c r="J792" i="2"/>
  <c r="M303" i="2"/>
  <c r="K303" i="2"/>
  <c r="P303" i="2"/>
  <c r="L303" i="2"/>
  <c r="I303" i="2"/>
  <c r="O881" i="2"/>
  <c r="M881" i="2"/>
  <c r="K881" i="2"/>
  <c r="I881" i="2"/>
  <c r="P881" i="2"/>
  <c r="N881" i="2"/>
  <c r="L881" i="2"/>
  <c r="J881" i="2"/>
  <c r="P626" i="2"/>
  <c r="N626" i="2"/>
  <c r="I626" i="2"/>
  <c r="O626" i="2"/>
  <c r="M626" i="2"/>
  <c r="L1080" i="2"/>
  <c r="J1080" i="2"/>
  <c r="K1080" i="2"/>
  <c r="P1080" i="2"/>
  <c r="I1080" i="2"/>
  <c r="K95" i="2"/>
  <c r="I95" i="2"/>
  <c r="J95" i="2"/>
  <c r="O1091" i="2"/>
  <c r="M1091" i="2"/>
  <c r="P1091" i="2"/>
  <c r="I1091" i="2"/>
  <c r="N1091" i="2"/>
  <c r="K627" i="2"/>
  <c r="M627" i="2"/>
  <c r="K139" i="2"/>
  <c r="K1000" i="2"/>
  <c r="M1000" i="2"/>
  <c r="J864" i="2"/>
  <c r="K455" i="2"/>
  <c r="M455" i="2"/>
  <c r="O455" i="2"/>
  <c r="I616" i="2"/>
  <c r="M616" i="2"/>
  <c r="K593" i="2"/>
  <c r="K326" i="2"/>
  <c r="M326" i="2"/>
  <c r="O326" i="2"/>
  <c r="O1151" i="2"/>
  <c r="J787" i="2"/>
  <c r="N787" i="2"/>
  <c r="P787" i="2"/>
  <c r="M653" i="2"/>
  <c r="O653" i="2"/>
  <c r="M124" i="2"/>
  <c r="J1161" i="2"/>
  <c r="N1161" i="2"/>
  <c r="P1161" i="2"/>
  <c r="P563" i="2"/>
  <c r="J143" i="2"/>
  <c r="N143" i="2"/>
  <c r="J1143" i="2"/>
  <c r="J570" i="2"/>
  <c r="M1060" i="2"/>
  <c r="O1060" i="2"/>
  <c r="J635" i="2"/>
  <c r="I358" i="2"/>
  <c r="K358" i="2"/>
  <c r="M358" i="2"/>
  <c r="O358" i="2"/>
  <c r="I427" i="2"/>
  <c r="N334" i="2"/>
  <c r="P334" i="2"/>
  <c r="M530" i="2"/>
  <c r="O530" i="2"/>
  <c r="J977" i="2"/>
  <c r="L977" i="2"/>
  <c r="N977" i="2"/>
  <c r="I977" i="2"/>
  <c r="K977" i="2"/>
  <c r="M977" i="2"/>
  <c r="O715" i="2"/>
  <c r="M715" i="2"/>
  <c r="K715" i="2"/>
  <c r="P715" i="2"/>
  <c r="N715" i="2"/>
  <c r="L715" i="2"/>
  <c r="I715" i="2"/>
  <c r="P847" i="2"/>
  <c r="M847" i="2"/>
  <c r="K847" i="2"/>
  <c r="I847" i="2"/>
  <c r="N847" i="2"/>
  <c r="L847" i="2"/>
  <c r="J847" i="2"/>
  <c r="N448" i="2"/>
  <c r="K448" i="2"/>
  <c r="I448" i="2"/>
  <c r="M448" i="2"/>
  <c r="L448" i="2"/>
  <c r="J448" i="2"/>
  <c r="M632" i="2"/>
  <c r="K632" i="2"/>
  <c r="L632" i="2"/>
  <c r="I632" i="2"/>
  <c r="O132" i="2"/>
  <c r="M132" i="2"/>
  <c r="J132" i="2"/>
  <c r="P132" i="2"/>
  <c r="K132" i="2"/>
  <c r="I132" i="2"/>
  <c r="N132" i="2"/>
  <c r="O450" i="2"/>
  <c r="K450" i="2"/>
  <c r="P450" i="2"/>
  <c r="I450" i="2"/>
  <c r="N450" i="2"/>
  <c r="K374" i="2"/>
  <c r="I374" i="2"/>
  <c r="J374" i="2"/>
  <c r="P374" i="2"/>
  <c r="K485" i="2"/>
  <c r="M485" i="2"/>
  <c r="J627" i="2"/>
  <c r="L627" i="2"/>
  <c r="L1000" i="2"/>
  <c r="I864" i="2"/>
  <c r="J455" i="2"/>
  <c r="L455" i="2"/>
  <c r="N455" i="2"/>
  <c r="J616" i="2"/>
  <c r="I326" i="2"/>
  <c r="L326" i="2"/>
  <c r="N326" i="2"/>
  <c r="K787" i="2"/>
  <c r="J249" i="2"/>
  <c r="L249" i="2"/>
  <c r="I653" i="2"/>
  <c r="I1161" i="2"/>
  <c r="L1161" i="2"/>
  <c r="I1143" i="2"/>
  <c r="J358" i="2"/>
  <c r="L358" i="2"/>
  <c r="N358" i="2"/>
  <c r="I334" i="2"/>
  <c r="L530" i="2"/>
  <c r="P530" i="2"/>
  <c r="I352" i="2"/>
  <c r="P944" i="2"/>
  <c r="M1073" i="2"/>
  <c r="O352" i="2"/>
  <c r="M576" i="2"/>
  <c r="O485" i="2" l="1"/>
  <c r="J485" i="2"/>
  <c r="L485" i="2"/>
  <c r="P1073" i="2"/>
  <c r="P249" i="2"/>
  <c r="N249" i="2"/>
  <c r="P485" i="2"/>
  <c r="P352" i="2"/>
  <c r="K352" i="2"/>
  <c r="P456" i="2"/>
  <c r="N456" i="2"/>
  <c r="L456" i="2"/>
  <c r="J456" i="2"/>
  <c r="O456" i="2"/>
  <c r="M456" i="2"/>
  <c r="K456" i="2"/>
  <c r="I456" i="2"/>
  <c r="O518" i="2"/>
  <c r="K518" i="2"/>
  <c r="P518" i="2"/>
  <c r="L518" i="2"/>
  <c r="I518" i="2"/>
  <c r="I298" i="2"/>
  <c r="J298" i="2"/>
  <c r="N994" i="2"/>
  <c r="M994" i="2"/>
  <c r="O1124" i="2"/>
  <c r="J1124" i="2"/>
  <c r="O745" i="2"/>
  <c r="M745" i="2"/>
  <c r="K745" i="2"/>
  <c r="I745" i="2"/>
  <c r="N745" i="2"/>
  <c r="L745" i="2"/>
  <c r="J745" i="2"/>
  <c r="P883" i="2"/>
  <c r="M883" i="2"/>
  <c r="P1042" i="2"/>
  <c r="L1042" i="2"/>
  <c r="J1042" i="2"/>
  <c r="M1042" i="2"/>
  <c r="K1042" i="2"/>
  <c r="I1042" i="2"/>
  <c r="P91" i="2"/>
  <c r="I91" i="2"/>
  <c r="O91" i="2"/>
  <c r="O568" i="2"/>
  <c r="M568" i="2"/>
  <c r="J568" i="2"/>
  <c r="P568" i="2"/>
  <c r="N568" i="2"/>
  <c r="K568" i="2"/>
  <c r="O976" i="2"/>
  <c r="M976" i="2"/>
  <c r="N976" i="2"/>
  <c r="O765" i="2"/>
  <c r="M765" i="2"/>
  <c r="N765" i="2"/>
  <c r="I765" i="2"/>
  <c r="P765" i="2"/>
  <c r="O499" i="2"/>
  <c r="M499" i="2"/>
  <c r="J499" i="2"/>
  <c r="P499" i="2"/>
  <c r="N499" i="2"/>
  <c r="L499" i="2"/>
  <c r="I499" i="2"/>
  <c r="I536" i="2"/>
  <c r="J536" i="2"/>
  <c r="L967" i="2"/>
  <c r="M967" i="2"/>
  <c r="J967" i="2"/>
  <c r="O1154" i="2"/>
  <c r="M1154" i="2"/>
  <c r="K1154" i="2"/>
  <c r="I1154" i="2"/>
  <c r="P1154" i="2"/>
  <c r="N1154" i="2"/>
  <c r="L1154" i="2"/>
  <c r="J1154" i="2"/>
  <c r="P382" i="2"/>
  <c r="N382" i="2"/>
  <c r="L382" i="2"/>
  <c r="M382" i="2"/>
  <c r="I382" i="2"/>
  <c r="O382" i="2"/>
  <c r="P111" i="2"/>
  <c r="N111" i="2"/>
  <c r="L111" i="2"/>
  <c r="O111" i="2"/>
  <c r="M111" i="2"/>
  <c r="P904" i="2"/>
  <c r="N904" i="2"/>
  <c r="O904" i="2"/>
  <c r="N896" i="2"/>
  <c r="K896" i="2"/>
  <c r="O896" i="2"/>
  <c r="L896" i="2"/>
  <c r="J896" i="2"/>
  <c r="O866" i="2"/>
  <c r="P866" i="2"/>
  <c r="O1073" i="2"/>
  <c r="N352" i="2"/>
  <c r="J944" i="2"/>
  <c r="L944" i="2"/>
  <c r="O731" i="2"/>
  <c r="M731" i="2"/>
  <c r="J731" i="2"/>
  <c r="P731" i="2"/>
  <c r="N731" i="2"/>
  <c r="K731" i="2"/>
  <c r="N1073" i="2"/>
  <c r="I944" i="2"/>
  <c r="K944" i="2"/>
  <c r="J352" i="2"/>
  <c r="M352" i="2"/>
  <c r="K883" i="2"/>
  <c r="O883" i="2"/>
  <c r="J883" i="2"/>
  <c r="L883" i="2"/>
  <c r="N883" i="2"/>
  <c r="M539" i="2"/>
  <c r="N857" i="2"/>
  <c r="O175" i="2"/>
  <c r="N478" i="2"/>
  <c r="N402" i="2"/>
  <c r="I228" i="2"/>
  <c r="N919" i="2"/>
  <c r="O342" i="2"/>
  <c r="N938" i="2"/>
  <c r="N85" i="2"/>
  <c r="O535" i="2"/>
  <c r="M729" i="2"/>
  <c r="P447" i="2"/>
  <c r="O545" i="2"/>
  <c r="P94" i="2"/>
  <c r="P474" i="2"/>
  <c r="P759" i="2"/>
  <c r="J1015" i="2"/>
  <c r="M315" i="2"/>
  <c r="O774" i="2"/>
  <c r="K107" i="2"/>
  <c r="I177" i="2" l="1"/>
  <c r="O195" i="2"/>
  <c r="I545" i="2"/>
  <c r="N545" i="2"/>
  <c r="P545" i="2"/>
  <c r="I94" i="2"/>
  <c r="O94" i="2"/>
  <c r="L474" i="2"/>
  <c r="J759" i="2"/>
  <c r="L759" i="2"/>
  <c r="O759" i="2"/>
  <c r="N759" i="2"/>
  <c r="L315" i="2"/>
  <c r="N774" i="2"/>
  <c r="P774" i="2"/>
  <c r="J107" i="2"/>
  <c r="J85" i="2"/>
  <c r="M85" i="2"/>
  <c r="O85" i="2"/>
  <c r="K535" i="2"/>
  <c r="N535" i="2"/>
  <c r="P535" i="2"/>
  <c r="L729" i="2"/>
  <c r="N729" i="2"/>
  <c r="J447" i="2"/>
  <c r="O447" i="2"/>
  <c r="K195" i="2"/>
  <c r="N195" i="2"/>
  <c r="P195" i="2"/>
  <c r="L539" i="2"/>
  <c r="K857" i="2"/>
  <c r="M857" i="2"/>
  <c r="N175" i="2"/>
  <c r="P175" i="2"/>
  <c r="M478" i="2"/>
  <c r="K402" i="2"/>
  <c r="M402" i="2"/>
  <c r="P402" i="2"/>
  <c r="J228" i="2"/>
  <c r="L228" i="2"/>
  <c r="N228" i="2"/>
  <c r="P228" i="2"/>
  <c r="J919" i="2"/>
  <c r="M919" i="2"/>
  <c r="P919" i="2"/>
  <c r="N342" i="2"/>
  <c r="P342" i="2"/>
  <c r="K938" i="2"/>
  <c r="M938" i="2"/>
  <c r="M545" i="2"/>
  <c r="N94" i="2"/>
  <c r="K474" i="2"/>
  <c r="I759" i="2"/>
  <c r="K759" i="2"/>
  <c r="M759" i="2"/>
  <c r="I774" i="2"/>
  <c r="I107" i="2"/>
  <c r="I85" i="2"/>
  <c r="K85" i="2"/>
  <c r="L762" i="2"/>
  <c r="M535" i="2"/>
  <c r="I447" i="2"/>
  <c r="N447" i="2"/>
  <c r="J195" i="2"/>
  <c r="M195" i="2"/>
  <c r="J857" i="2"/>
  <c r="L857" i="2"/>
  <c r="M175" i="2"/>
  <c r="J402" i="2"/>
  <c r="L402" i="2"/>
  <c r="K228" i="2"/>
  <c r="M228" i="2"/>
  <c r="O228" i="2"/>
  <c r="I919" i="2"/>
  <c r="K919" i="2"/>
  <c r="L938" i="2"/>
  <c r="I464" i="2"/>
  <c r="O1177" i="2"/>
  <c r="M263" i="2"/>
  <c r="J1004" i="2"/>
  <c r="M546" i="2"/>
  <c r="J309" i="2"/>
  <c r="I723" i="2"/>
  <c r="O281" i="2"/>
  <c r="K280" i="2"/>
  <c r="O1067" i="2"/>
  <c r="M1067" i="2"/>
  <c r="K1067" i="2"/>
  <c r="P1129" i="2"/>
  <c r="P415" i="2"/>
  <c r="J415" i="2"/>
  <c r="J93" i="2"/>
  <c r="L360" i="2"/>
  <c r="P888" i="2"/>
  <c r="J659" i="2"/>
  <c r="K258" i="2"/>
  <c r="M409" i="2"/>
  <c r="O186" i="2"/>
  <c r="P723" i="2"/>
  <c r="J279" i="2"/>
  <c r="K415" i="2"/>
  <c r="P968" i="2"/>
  <c r="K1129" i="2"/>
  <c r="P1067" i="2"/>
  <c r="L151" i="2"/>
  <c r="N689" i="2"/>
  <c r="M1142" i="2"/>
  <c r="J280" i="2"/>
  <c r="J1129" i="2" l="1"/>
  <c r="J281" i="2"/>
  <c r="M541" i="2"/>
  <c r="O217" i="2"/>
  <c r="L361" i="2"/>
  <c r="O762" i="2"/>
  <c r="J762" i="2"/>
  <c r="M762" i="2"/>
  <c r="P141" i="2"/>
  <c r="N141" i="2"/>
  <c r="I141" i="2"/>
  <c r="O141" i="2"/>
  <c r="M141" i="2"/>
  <c r="K177" i="2"/>
  <c r="J177" i="2"/>
  <c r="N762" i="2"/>
  <c r="O689" i="2"/>
  <c r="P186" i="2"/>
  <c r="N613" i="2"/>
  <c r="L613" i="2"/>
  <c r="P363" i="2"/>
  <c r="N363" i="2"/>
  <c r="L363" i="2"/>
  <c r="I363" i="2"/>
  <c r="O363" i="2"/>
  <c r="M363" i="2"/>
  <c r="J363" i="2"/>
  <c r="P171" i="2"/>
  <c r="N171" i="2"/>
  <c r="I171" i="2"/>
  <c r="O171" i="2"/>
  <c r="J171" i="2"/>
  <c r="P408" i="2"/>
  <c r="N408" i="2"/>
  <c r="K408" i="2"/>
  <c r="I408" i="2"/>
  <c r="O606" i="2"/>
  <c r="L606" i="2"/>
  <c r="I606" i="2"/>
  <c r="P606" i="2"/>
  <c r="M606" i="2"/>
  <c r="J606" i="2"/>
  <c r="L588" i="2"/>
  <c r="P588" i="2"/>
  <c r="I588" i="2"/>
  <c r="P1176" i="2"/>
  <c r="N1176" i="2"/>
  <c r="I1176" i="2"/>
  <c r="O1176" i="2"/>
  <c r="M1176" i="2"/>
  <c r="N317" i="2"/>
  <c r="L317" i="2"/>
  <c r="J317" i="2"/>
  <c r="P317" i="2"/>
  <c r="M317" i="2"/>
  <c r="K317" i="2"/>
  <c r="I317" i="2"/>
  <c r="M1012" i="2"/>
  <c r="J1012" i="2"/>
  <c r="O1012" i="2"/>
  <c r="K1012" i="2"/>
  <c r="I1012" i="2"/>
  <c r="O1135" i="2"/>
  <c r="K1135" i="2"/>
  <c r="P304" i="2"/>
  <c r="N304" i="2"/>
  <c r="L304" i="2"/>
  <c r="I304" i="2"/>
  <c r="O304" i="2"/>
  <c r="M304" i="2"/>
  <c r="J304" i="2"/>
  <c r="P691" i="2"/>
  <c r="N691" i="2"/>
  <c r="O691" i="2"/>
  <c r="I691" i="2"/>
  <c r="M727" i="2"/>
  <c r="L727" i="2"/>
  <c r="P544" i="2"/>
  <c r="N544" i="2"/>
  <c r="L544" i="2"/>
  <c r="I544" i="2"/>
  <c r="O544" i="2"/>
  <c r="M544" i="2"/>
  <c r="K544" i="2"/>
  <c r="K156" i="2"/>
  <c r="I156" i="2"/>
  <c r="J156" i="2"/>
  <c r="P1162" i="2"/>
  <c r="K1162" i="2"/>
  <c r="I1162" i="2"/>
  <c r="L1162" i="2"/>
  <c r="J1162" i="2"/>
  <c r="P367" i="2"/>
  <c r="N367" i="2"/>
  <c r="L367" i="2"/>
  <c r="I367" i="2"/>
  <c r="O367" i="2"/>
  <c r="M367" i="2"/>
  <c r="J367" i="2"/>
  <c r="P903" i="2"/>
  <c r="L903" i="2"/>
  <c r="I903" i="2"/>
  <c r="M903" i="2"/>
  <c r="J903" i="2"/>
  <c r="M344" i="2"/>
  <c r="K344" i="2"/>
  <c r="L344" i="2"/>
  <c r="J344" i="2"/>
  <c r="M968" i="2"/>
  <c r="O968" i="2"/>
  <c r="K151" i="2"/>
  <c r="I659" i="2"/>
  <c r="L409" i="2"/>
  <c r="J723" i="2"/>
  <c r="M613" i="2"/>
  <c r="L408" i="2"/>
  <c r="N546" i="2"/>
  <c r="L546" i="2"/>
  <c r="P309" i="2"/>
  <c r="N309" i="2"/>
  <c r="I309" i="2"/>
  <c r="N281" i="2"/>
  <c r="L281" i="2"/>
  <c r="P187" i="2"/>
  <c r="I187" i="2"/>
  <c r="J187" i="2"/>
  <c r="P263" i="2"/>
  <c r="N263" i="2"/>
  <c r="L263" i="2"/>
  <c r="I263" i="2"/>
  <c r="O263" i="2"/>
  <c r="M1004" i="2"/>
  <c r="K1004" i="2"/>
  <c r="I1004" i="2"/>
  <c r="P585" i="2"/>
  <c r="N585" i="2"/>
  <c r="L585" i="2"/>
  <c r="J585" i="2"/>
  <c r="O585" i="2"/>
  <c r="M585" i="2"/>
  <c r="K585" i="2"/>
  <c r="I585" i="2"/>
  <c r="P231" i="2"/>
  <c r="N231" i="2"/>
  <c r="K231" i="2"/>
  <c r="O231" i="2"/>
  <c r="M231" i="2"/>
  <c r="O624" i="2"/>
  <c r="I624" i="2"/>
  <c r="P624" i="2"/>
  <c r="N624" i="2"/>
  <c r="O573" i="2"/>
  <c r="M573" i="2"/>
  <c r="P573" i="2"/>
  <c r="N573" i="2"/>
  <c r="L573" i="2"/>
  <c r="O1043" i="2"/>
  <c r="M1043" i="2"/>
  <c r="J1043" i="2"/>
  <c r="P1043" i="2"/>
  <c r="N1043" i="2"/>
  <c r="L1043" i="2"/>
  <c r="I1043" i="2"/>
  <c r="O818" i="2"/>
  <c r="N818" i="2"/>
  <c r="L809" i="2"/>
  <c r="J809" i="2"/>
  <c r="M809" i="2"/>
  <c r="K809" i="2"/>
  <c r="I809" i="2"/>
  <c r="P121" i="2"/>
  <c r="N121" i="2"/>
  <c r="L121" i="2"/>
  <c r="I121" i="2"/>
  <c r="O121" i="2"/>
  <c r="M121" i="2"/>
  <c r="J121" i="2"/>
  <c r="L929" i="2"/>
  <c r="J929" i="2"/>
  <c r="M929" i="2"/>
  <c r="K929" i="2"/>
  <c r="O498" i="2"/>
  <c r="M498" i="2"/>
  <c r="K498" i="2"/>
  <c r="I498" i="2"/>
  <c r="P498" i="2"/>
  <c r="N498" i="2"/>
  <c r="L498" i="2"/>
  <c r="J498" i="2"/>
  <c r="J586" i="2"/>
  <c r="K586" i="2"/>
  <c r="I586" i="2"/>
  <c r="P552" i="2"/>
  <c r="M552" i="2"/>
  <c r="N552" i="2"/>
  <c r="L1013" i="2"/>
  <c r="K1013" i="2"/>
  <c r="O615" i="2"/>
  <c r="M615" i="2"/>
  <c r="K615" i="2"/>
  <c r="I615" i="2"/>
  <c r="P615" i="2"/>
  <c r="N615" i="2"/>
  <c r="L615" i="2"/>
  <c r="J615" i="2"/>
  <c r="I415" i="2"/>
  <c r="I968" i="2"/>
  <c r="N968" i="2"/>
  <c r="I1129" i="2"/>
  <c r="I1067" i="2"/>
  <c r="L1067" i="2"/>
  <c r="N1067" i="2"/>
  <c r="I280" i="2"/>
  <c r="M281" i="2"/>
  <c r="J258" i="2"/>
  <c r="N409" i="2"/>
  <c r="N186" i="2"/>
  <c r="O309" i="2"/>
  <c r="K279" i="2"/>
  <c r="O546" i="2"/>
  <c r="K613" i="2"/>
  <c r="L1004" i="2"/>
  <c r="J408" i="2"/>
  <c r="O408" i="2"/>
  <c r="J263" i="2"/>
  <c r="N1177" i="2"/>
  <c r="J217" i="2"/>
  <c r="L217" i="2"/>
  <c r="N217" i="2"/>
  <c r="P217" i="2"/>
  <c r="P162" i="2"/>
  <c r="N162" i="2"/>
  <c r="L162" i="2"/>
  <c r="I162" i="2"/>
  <c r="O162" i="2"/>
  <c r="K162" i="2"/>
  <c r="M162" i="2"/>
  <c r="N834" i="2"/>
  <c r="I1177" i="2"/>
  <c r="P1177" i="2"/>
  <c r="K1169" i="2"/>
  <c r="I217" i="2"/>
  <c r="K217" i="2"/>
  <c r="M217" i="2"/>
  <c r="O937" i="2"/>
  <c r="M937" i="2"/>
  <c r="K937" i="2"/>
  <c r="I937" i="2"/>
  <c r="N937" i="2"/>
  <c r="J937" i="2"/>
  <c r="P937" i="2"/>
  <c r="L937" i="2"/>
  <c r="P553" i="2"/>
  <c r="M553" i="2"/>
  <c r="N553" i="2"/>
  <c r="M1177" i="2"/>
  <c r="N682" i="2"/>
  <c r="M1019" i="2"/>
  <c r="J260" i="2"/>
  <c r="L260" i="2"/>
  <c r="L1116" i="2"/>
  <c r="N662" i="2"/>
  <c r="N895" i="2"/>
  <c r="L895" i="2"/>
  <c r="L744" i="2"/>
  <c r="P956" i="2"/>
  <c r="P696" i="2"/>
  <c r="K412" i="2"/>
  <c r="O526" i="2"/>
  <c r="O80" i="2"/>
  <c r="M1071" i="2"/>
  <c r="P681" i="2"/>
  <c r="O895" i="2"/>
  <c r="P958" i="2"/>
  <c r="M112" i="2"/>
  <c r="I838" i="2"/>
  <c r="M1115" i="2"/>
  <c r="M260" i="2"/>
  <c r="O785" i="2"/>
  <c r="P768" i="2"/>
  <c r="P185" i="2"/>
  <c r="O580" i="2"/>
  <c r="O1019" i="2"/>
  <c r="M495" i="2"/>
  <c r="P682" i="2"/>
  <c r="N696" i="2"/>
  <c r="J1045" i="2"/>
  <c r="L439" i="2"/>
  <c r="L244" i="2"/>
  <c r="P87" i="2"/>
  <c r="O1045" i="2"/>
  <c r="O914" i="2"/>
  <c r="O696" i="2"/>
  <c r="J734" i="2"/>
  <c r="N274" i="2"/>
  <c r="L274" i="2"/>
  <c r="P565" i="2"/>
  <c r="N987" i="2"/>
  <c r="K551" i="2"/>
  <c r="I551" i="2"/>
  <c r="I671" i="2"/>
  <c r="K671" i="2"/>
  <c r="P940" i="2"/>
  <c r="N940" i="2"/>
  <c r="L940" i="2"/>
  <c r="I940" i="2"/>
  <c r="L592" i="2"/>
  <c r="K660" i="2"/>
  <c r="L428" i="2"/>
  <c r="P274" i="2"/>
  <c r="I117" i="2"/>
  <c r="N874" i="2"/>
  <c r="M428" i="2"/>
  <c r="I998" i="2"/>
  <c r="O940" i="2"/>
  <c r="O671" i="2"/>
  <c r="N551" i="2"/>
  <c r="P232" i="2"/>
  <c r="M191" i="2"/>
  <c r="O565" i="2"/>
  <c r="M987" i="2" l="1"/>
  <c r="P592" i="2"/>
  <c r="O592" i="2"/>
  <c r="L660" i="2"/>
  <c r="I592" i="2"/>
  <c r="N671" i="2"/>
  <c r="M744" i="2"/>
  <c r="N260" i="2"/>
  <c r="N565" i="2"/>
  <c r="O786" i="2"/>
  <c r="N744" i="2"/>
  <c r="P662" i="2"/>
  <c r="K1019" i="2"/>
  <c r="P1019" i="2"/>
  <c r="L682" i="2"/>
  <c r="L1169" i="2"/>
  <c r="N1169" i="2"/>
  <c r="J1169" i="2"/>
  <c r="I834" i="2"/>
  <c r="O834" i="2"/>
  <c r="P1081" i="2"/>
  <c r="J565" i="2"/>
  <c r="O662" i="2"/>
  <c r="P842" i="2"/>
  <c r="O813" i="2"/>
  <c r="I1019" i="2"/>
  <c r="I682" i="2"/>
  <c r="M1169" i="2"/>
  <c r="P834" i="2"/>
  <c r="O112" i="2"/>
  <c r="I734" i="2"/>
  <c r="I526" i="2"/>
  <c r="N526" i="2"/>
  <c r="K526" i="2"/>
  <c r="P526" i="2"/>
  <c r="L191" i="2"/>
  <c r="O185" i="2"/>
  <c r="L112" i="2"/>
  <c r="N80" i="2"/>
  <c r="J80" i="2"/>
  <c r="P80" i="2"/>
  <c r="O200" i="2"/>
  <c r="M200" i="2"/>
  <c r="K200" i="2"/>
  <c r="I200" i="2"/>
  <c r="P200" i="2"/>
  <c r="N200" i="2"/>
  <c r="L200" i="2"/>
  <c r="J200" i="2"/>
  <c r="P1023" i="2"/>
  <c r="M1023" i="2"/>
  <c r="K1023" i="2"/>
  <c r="N1023" i="2"/>
  <c r="L1023" i="2"/>
  <c r="I1023" i="2"/>
  <c r="P569" i="2"/>
  <c r="N569" i="2"/>
  <c r="O569" i="2"/>
  <c r="I569" i="2"/>
  <c r="N655" i="2"/>
  <c r="L655" i="2"/>
  <c r="I655" i="2"/>
  <c r="O655" i="2"/>
  <c r="M655" i="2"/>
  <c r="J655" i="2"/>
  <c r="P1112" i="2"/>
  <c r="K1112" i="2"/>
  <c r="I1112" i="2"/>
  <c r="O1112" i="2"/>
  <c r="J1112" i="2"/>
  <c r="O769" i="2"/>
  <c r="M769" i="2"/>
  <c r="K769" i="2"/>
  <c r="I769" i="2"/>
  <c r="N769" i="2"/>
  <c r="L769" i="2"/>
  <c r="J769" i="2"/>
  <c r="M582" i="2"/>
  <c r="J582" i="2"/>
  <c r="N582" i="2"/>
  <c r="L582" i="2"/>
  <c r="I582" i="2"/>
  <c r="P105" i="2"/>
  <c r="L105" i="2"/>
  <c r="I105" i="2"/>
  <c r="O105" i="2"/>
  <c r="N105" i="2"/>
  <c r="J105" i="2"/>
  <c r="J1081" i="2"/>
  <c r="I87" i="2"/>
  <c r="M87" i="2"/>
  <c r="O87" i="2"/>
  <c r="I914" i="2"/>
  <c r="N914" i="2"/>
  <c r="P914" i="2"/>
  <c r="O956" i="2"/>
  <c r="J1071" i="2"/>
  <c r="L1071" i="2"/>
  <c r="N1071" i="2"/>
  <c r="I681" i="2"/>
  <c r="N681" i="2"/>
  <c r="M958" i="2"/>
  <c r="O958" i="2"/>
  <c r="L1115" i="2"/>
  <c r="J785" i="2"/>
  <c r="L785" i="2"/>
  <c r="N785" i="2"/>
  <c r="P785" i="2"/>
  <c r="O768" i="2"/>
  <c r="J580" i="2"/>
  <c r="L580" i="2"/>
  <c r="N580" i="2"/>
  <c r="J813" i="2"/>
  <c r="L813" i="2"/>
  <c r="N813" i="2"/>
  <c r="P813" i="2"/>
  <c r="N495" i="2"/>
  <c r="J412" i="2"/>
  <c r="L412" i="2"/>
  <c r="K428" i="2"/>
  <c r="K592" i="2"/>
  <c r="M592" i="2"/>
  <c r="K940" i="2"/>
  <c r="M940" i="2"/>
  <c r="J671" i="2"/>
  <c r="L671" i="2"/>
  <c r="J551" i="2"/>
  <c r="K191" i="2"/>
  <c r="I1081" i="2"/>
  <c r="M565" i="2"/>
  <c r="M274" i="2"/>
  <c r="J87" i="2"/>
  <c r="N87" i="2"/>
  <c r="I1045" i="2"/>
  <c r="M914" i="2"/>
  <c r="L696" i="2"/>
  <c r="N956" i="2"/>
  <c r="I80" i="2"/>
  <c r="M80" i="2"/>
  <c r="I1071" i="2"/>
  <c r="K1071" i="2"/>
  <c r="M681" i="2"/>
  <c r="M895" i="2"/>
  <c r="I662" i="2"/>
  <c r="N958" i="2"/>
  <c r="K260" i="2"/>
  <c r="J842" i="2"/>
  <c r="L842" i="2"/>
  <c r="N842" i="2"/>
  <c r="I785" i="2"/>
  <c r="K785" i="2"/>
  <c r="M785" i="2"/>
  <c r="N768" i="2"/>
  <c r="N185" i="2"/>
  <c r="I580" i="2"/>
  <c r="K580" i="2"/>
  <c r="M580" i="2"/>
  <c r="I813" i="2"/>
  <c r="K813" i="2"/>
  <c r="M813" i="2"/>
  <c r="J1019" i="2"/>
  <c r="L1019" i="2"/>
  <c r="N1019" i="2"/>
  <c r="K682" i="2"/>
  <c r="M682" i="2"/>
  <c r="J526" i="2"/>
  <c r="M526" i="2"/>
  <c r="M1116" i="2"/>
  <c r="P557" i="2"/>
  <c r="P556" i="2"/>
  <c r="N556" i="2"/>
  <c r="L556" i="2"/>
  <c r="I556" i="2"/>
  <c r="M328" i="2"/>
  <c r="M704" i="2"/>
  <c r="O341" i="2"/>
  <c r="M341" i="2"/>
  <c r="P993" i="2"/>
  <c r="N811" i="2"/>
  <c r="L349" i="2"/>
  <c r="O911" i="2"/>
  <c r="J827" i="2"/>
  <c r="N501" i="2"/>
  <c r="O811" i="2"/>
  <c r="M396" i="2"/>
  <c r="O127" i="2"/>
  <c r="O992" i="2"/>
  <c r="O125" i="2"/>
  <c r="O599" i="2"/>
  <c r="L161" i="2"/>
  <c r="I781" i="2"/>
  <c r="O781" i="2" s="1"/>
  <c r="N341" i="2"/>
  <c r="N875" i="2"/>
  <c r="P704" i="2"/>
  <c r="P328" i="2"/>
  <c r="P949" i="2"/>
  <c r="O975" i="2"/>
  <c r="I726" i="2"/>
  <c r="P610" i="2"/>
  <c r="O556" i="2"/>
  <c r="O328" i="2" l="1"/>
  <c r="N911" i="2"/>
  <c r="K328" i="2"/>
  <c r="N704" i="2"/>
  <c r="J911" i="2"/>
  <c r="P911" i="2"/>
  <c r="M393" i="2"/>
  <c r="O842" i="2"/>
  <c r="K842" i="2"/>
  <c r="M842" i="2"/>
  <c r="I842" i="2"/>
  <c r="N786" i="2"/>
  <c r="P786" i="2"/>
  <c r="N125" i="2"/>
  <c r="J127" i="2"/>
  <c r="N127" i="2"/>
  <c r="M501" i="2"/>
  <c r="K501" i="2"/>
  <c r="K161" i="2"/>
  <c r="M161" i="2"/>
  <c r="L127" i="2"/>
  <c r="P127" i="2"/>
  <c r="K125" i="2"/>
  <c r="P125" i="2"/>
  <c r="I827" i="2"/>
  <c r="N393" i="2"/>
  <c r="I349" i="2"/>
  <c r="L396" i="2"/>
  <c r="N396" i="2"/>
  <c r="I992" i="2"/>
  <c r="K992" i="2"/>
  <c r="L992" i="2"/>
  <c r="P992" i="2"/>
  <c r="K599" i="2"/>
  <c r="M599" i="2"/>
  <c r="P599" i="2"/>
  <c r="P781" i="2"/>
  <c r="N781" i="2"/>
  <c r="M875" i="2"/>
  <c r="I949" i="2"/>
  <c r="O949" i="2"/>
  <c r="M975" i="2"/>
  <c r="P975" i="2"/>
  <c r="L610" i="2"/>
  <c r="I911" i="2"/>
  <c r="K911" i="2"/>
  <c r="L501" i="2"/>
  <c r="M811" i="2"/>
  <c r="I127" i="2"/>
  <c r="K127" i="2"/>
  <c r="M127" i="2"/>
  <c r="J992" i="2"/>
  <c r="M992" i="2"/>
  <c r="J125" i="2"/>
  <c r="L125" i="2"/>
  <c r="L599" i="2"/>
  <c r="J161" i="2"/>
  <c r="L341" i="2"/>
  <c r="L704" i="2"/>
  <c r="O704" i="2"/>
  <c r="J328" i="2"/>
  <c r="L328" i="2"/>
  <c r="N328" i="2"/>
  <c r="M949" i="2"/>
  <c r="I610" i="2"/>
  <c r="K556" i="2"/>
  <c r="M556" i="2"/>
  <c r="K557" i="2"/>
  <c r="M557" i="2"/>
  <c r="O557" i="2"/>
  <c r="I557" i="2"/>
  <c r="L557" i="2"/>
  <c r="N557" i="2"/>
  <c r="J993" i="2"/>
  <c r="L993" i="2"/>
  <c r="O993" i="2"/>
  <c r="I993" i="2"/>
  <c r="K993" i="2"/>
  <c r="M993" i="2"/>
  <c r="N700" i="2"/>
  <c r="L376" i="2"/>
  <c r="K435" i="2"/>
  <c r="P672" i="2"/>
  <c r="M83" i="2"/>
  <c r="P1134" i="2"/>
  <c r="L83" i="2" l="1"/>
  <c r="P180" i="2"/>
  <c r="N180" i="2"/>
  <c r="J180" i="2"/>
  <c r="O180" i="2"/>
  <c r="M180" i="2"/>
  <c r="I180" i="2"/>
  <c r="O243" i="2"/>
  <c r="M243" i="2"/>
  <c r="P243" i="2"/>
  <c r="N243" i="2"/>
  <c r="M784" i="2"/>
  <c r="N784" i="2"/>
  <c r="L730" i="2"/>
  <c r="J730" i="2"/>
  <c r="M730" i="2"/>
  <c r="K730" i="2"/>
  <c r="I730" i="2"/>
  <c r="K284" i="2"/>
  <c r="P284" i="2"/>
  <c r="J284" i="2"/>
  <c r="P868" i="2"/>
  <c r="N868" i="2"/>
  <c r="L868" i="2"/>
  <c r="O868" i="2"/>
  <c r="M868" i="2"/>
  <c r="K868" i="2"/>
  <c r="M960" i="2"/>
  <c r="K960" i="2"/>
  <c r="I960" i="2"/>
  <c r="P960" i="2"/>
  <c r="L960" i="2"/>
  <c r="J960" i="2"/>
  <c r="O150" i="2"/>
  <c r="M150" i="2"/>
  <c r="N150" i="2"/>
  <c r="P871" i="2"/>
  <c r="L871" i="2"/>
  <c r="J871" i="2"/>
  <c r="O871" i="2"/>
  <c r="K871" i="2"/>
  <c r="I871" i="2"/>
  <c r="O788" i="2"/>
  <c r="L788" i="2"/>
  <c r="N788" i="2"/>
  <c r="I788" i="2"/>
  <c r="N941" i="2"/>
  <c r="L941" i="2"/>
  <c r="M941" i="2"/>
  <c r="O1007" i="2"/>
  <c r="M1007" i="2"/>
  <c r="K1007" i="2"/>
  <c r="I1007" i="2"/>
  <c r="N1007" i="2"/>
  <c r="L1007" i="2"/>
  <c r="J1007" i="2"/>
  <c r="M1027" i="2"/>
  <c r="K1027" i="2"/>
  <c r="L1027" i="2"/>
  <c r="J1027" i="2"/>
  <c r="M1172" i="2"/>
  <c r="L1172" i="2"/>
  <c r="P820" i="2"/>
  <c r="J820" i="2"/>
  <c r="O820" i="2"/>
  <c r="I820" i="2"/>
  <c r="K858" i="2"/>
  <c r="J858" i="2"/>
  <c r="O504" i="2"/>
  <c r="M504" i="2"/>
  <c r="K504" i="2"/>
  <c r="I504" i="2"/>
  <c r="P504" i="2"/>
  <c r="N504" i="2"/>
  <c r="L504" i="2"/>
  <c r="J504" i="2"/>
  <c r="O224" i="2"/>
  <c r="M224" i="2"/>
  <c r="K224" i="2"/>
  <c r="I224" i="2"/>
  <c r="P224" i="2"/>
  <c r="N224" i="2"/>
  <c r="L224" i="2"/>
  <c r="J224" i="2"/>
  <c r="L684" i="2"/>
  <c r="J684" i="2"/>
  <c r="M684" i="2"/>
  <c r="K684" i="2"/>
  <c r="O487" i="2"/>
  <c r="M487" i="2"/>
  <c r="K487" i="2"/>
  <c r="I487" i="2"/>
  <c r="P487" i="2"/>
  <c r="N487" i="2"/>
  <c r="L487" i="2"/>
  <c r="J487" i="2"/>
  <c r="N982" i="2"/>
  <c r="M982" i="2"/>
  <c r="O654" i="2"/>
  <c r="M654" i="2"/>
  <c r="K654" i="2"/>
  <c r="N654" i="2"/>
  <c r="L654" i="2"/>
  <c r="I654" i="2"/>
  <c r="I859" i="2"/>
  <c r="N859" i="2"/>
  <c r="L859" i="2"/>
  <c r="J859" i="2"/>
  <c r="P859" i="2"/>
  <c r="M859" i="2"/>
  <c r="K859" i="2"/>
  <c r="O1134" i="2"/>
  <c r="J1134" i="2"/>
  <c r="N515" i="2"/>
  <c r="J515" i="2"/>
  <c r="M515" i="2"/>
  <c r="O1148" i="2"/>
  <c r="M1148" i="2"/>
  <c r="J1148" i="2"/>
  <c r="N867" i="2"/>
  <c r="O215" i="2"/>
  <c r="M532" i="2"/>
  <c r="P502" i="2"/>
  <c r="O1038" i="2"/>
  <c r="M1038" i="2"/>
  <c r="N484" i="2"/>
  <c r="J484" i="2"/>
  <c r="I145" i="2"/>
  <c r="P484" i="2"/>
  <c r="N1038" i="2"/>
  <c r="P372" i="2"/>
  <c r="I951" i="2"/>
  <c r="N532" i="2"/>
  <c r="O378" i="2"/>
  <c r="O680" i="2"/>
  <c r="O205" i="2"/>
  <c r="P433" i="2"/>
  <c r="O867" i="2"/>
  <c r="O348" i="2"/>
  <c r="P1148" i="2"/>
  <c r="O1069" i="2"/>
  <c r="O422" i="2"/>
  <c r="P489" i="2"/>
  <c r="K446" i="2"/>
  <c r="P271" i="2"/>
  <c r="O253" i="2"/>
  <c r="L867" i="2" l="1"/>
  <c r="P867" i="2"/>
  <c r="M844" i="2"/>
  <c r="I867" i="2"/>
  <c r="O702" i="2"/>
  <c r="I489" i="2"/>
  <c r="O489" i="2"/>
  <c r="J502" i="2"/>
  <c r="L489" i="2"/>
  <c r="L271" i="2"/>
  <c r="N215" i="2"/>
  <c r="J205" i="2"/>
  <c r="P205" i="2"/>
  <c r="I253" i="2"/>
  <c r="J271" i="2"/>
  <c r="O271" i="2"/>
  <c r="J215" i="2"/>
  <c r="P215" i="2"/>
  <c r="N205" i="2"/>
  <c r="I1069" i="2"/>
  <c r="K1069" i="2"/>
  <c r="M1069" i="2"/>
  <c r="P1069" i="2"/>
  <c r="L422" i="2"/>
  <c r="N422" i="2"/>
  <c r="P422" i="2"/>
  <c r="J446" i="2"/>
  <c r="P1105" i="2"/>
  <c r="N1105" i="2"/>
  <c r="L1105" i="2"/>
  <c r="I1105" i="2"/>
  <c r="O1105" i="2"/>
  <c r="M1105" i="2"/>
  <c r="K1105" i="2"/>
  <c r="P510" i="2"/>
  <c r="N510" i="2"/>
  <c r="I510" i="2"/>
  <c r="O510" i="2"/>
  <c r="M510" i="2"/>
  <c r="P1095" i="2"/>
  <c r="M1095" i="2"/>
  <c r="I1095" i="2"/>
  <c r="N1095" i="2"/>
  <c r="L1095" i="2"/>
  <c r="N805" i="2"/>
  <c r="K805" i="2"/>
  <c r="O805" i="2"/>
  <c r="M805" i="2"/>
  <c r="P390" i="2"/>
  <c r="M390" i="2"/>
  <c r="K390" i="2"/>
  <c r="I390" i="2"/>
  <c r="O390" i="2"/>
  <c r="L390" i="2"/>
  <c r="J390" i="2"/>
  <c r="K199" i="2"/>
  <c r="I199" i="2"/>
  <c r="L199" i="2"/>
  <c r="J199" i="2"/>
  <c r="J245" i="2"/>
  <c r="K245" i="2"/>
  <c r="I245" i="2"/>
  <c r="N1079" i="2"/>
  <c r="J1079" i="2"/>
  <c r="M1079" i="2"/>
  <c r="O824" i="2"/>
  <c r="M824" i="2"/>
  <c r="K824" i="2"/>
  <c r="I824" i="2"/>
  <c r="P824" i="2"/>
  <c r="N824" i="2"/>
  <c r="L824" i="2"/>
  <c r="J824" i="2"/>
  <c r="I372" i="2"/>
  <c r="K372" i="2"/>
  <c r="O372" i="2"/>
  <c r="J378" i="2"/>
  <c r="L378" i="2"/>
  <c r="N378" i="2"/>
  <c r="L680" i="2"/>
  <c r="N680" i="2"/>
  <c r="J348" i="2"/>
  <c r="L348" i="2"/>
  <c r="N348" i="2"/>
  <c r="P348" i="2"/>
  <c r="K271" i="2"/>
  <c r="N271" i="2"/>
  <c r="J1069" i="2"/>
  <c r="L1069" i="2"/>
  <c r="I422" i="2"/>
  <c r="M422" i="2"/>
  <c r="K489" i="2"/>
  <c r="M489" i="2"/>
  <c r="O619" i="2"/>
  <c r="M619" i="2"/>
  <c r="K619" i="2"/>
  <c r="P619" i="2"/>
  <c r="N619" i="2"/>
  <c r="L619" i="2"/>
  <c r="J619" i="2"/>
  <c r="I619" i="2"/>
  <c r="O767" i="2"/>
  <c r="M767" i="2"/>
  <c r="N767" i="2"/>
  <c r="P1133" i="2"/>
  <c r="J1133" i="2"/>
  <c r="O1133" i="2"/>
  <c r="M144" i="2"/>
  <c r="K144" i="2"/>
  <c r="L144" i="2"/>
  <c r="L1032" i="2"/>
  <c r="M1032" i="2"/>
  <c r="P733" i="2"/>
  <c r="N733" i="2"/>
  <c r="K733" i="2"/>
  <c r="O733" i="2"/>
  <c r="L733" i="2"/>
  <c r="I733" i="2"/>
  <c r="N488" i="2"/>
  <c r="L488" i="2"/>
  <c r="O488" i="2"/>
  <c r="M488" i="2"/>
  <c r="K488" i="2"/>
  <c r="O581" i="2"/>
  <c r="J581" i="2"/>
  <c r="K581" i="2"/>
  <c r="N581" i="2"/>
  <c r="I581" i="2"/>
  <c r="I484" i="2"/>
  <c r="L484" i="2"/>
  <c r="J372" i="2"/>
  <c r="L372" i="2"/>
  <c r="I502" i="2"/>
  <c r="L532" i="2"/>
  <c r="I378" i="2"/>
  <c r="K378" i="2"/>
  <c r="M378" i="2"/>
  <c r="I215" i="2"/>
  <c r="K215" i="2"/>
  <c r="M680" i="2"/>
  <c r="I205" i="2"/>
  <c r="K205" i="2"/>
  <c r="K867" i="2"/>
  <c r="M867" i="2"/>
  <c r="L702" i="2"/>
  <c r="I348" i="2"/>
  <c r="K348" i="2"/>
  <c r="M348" i="2"/>
  <c r="I1148" i="2"/>
  <c r="L1148" i="2"/>
  <c r="N1148" i="2"/>
  <c r="N253" i="2"/>
  <c r="J253" i="2"/>
  <c r="M537" i="2"/>
  <c r="P444" i="2"/>
  <c r="P443" i="2"/>
  <c r="N443" i="2"/>
  <c r="L443" i="2"/>
  <c r="I443" i="2"/>
  <c r="P312" i="2"/>
  <c r="N559" i="2"/>
  <c r="O559" i="2"/>
  <c r="L559" i="2"/>
  <c r="J559" i="2"/>
  <c r="N707" i="2"/>
  <c r="L440" i="2"/>
  <c r="M600" i="2"/>
  <c r="K600" i="2"/>
  <c r="N893" i="2"/>
  <c r="P434" i="2"/>
  <c r="I305" i="2"/>
  <c r="I777" i="2"/>
  <c r="L934" i="2"/>
  <c r="O893" i="2"/>
  <c r="N983" i="2"/>
  <c r="O233" i="2"/>
  <c r="P600" i="2"/>
  <c r="P860" i="2"/>
  <c r="M775" i="2"/>
  <c r="P559" i="2"/>
  <c r="I540" i="2"/>
  <c r="J432" i="2"/>
  <c r="M398" i="2"/>
  <c r="P802" i="2"/>
  <c r="P1180" i="2"/>
  <c r="P221" i="2"/>
  <c r="O926" i="2"/>
  <c r="O443" i="2"/>
  <c r="N650" i="2"/>
  <c r="M542" i="2"/>
  <c r="K865" i="2"/>
  <c r="L1048" i="2"/>
  <c r="P833" i="2"/>
  <c r="N833" i="2"/>
  <c r="L833" i="2"/>
  <c r="I833" i="2"/>
  <c r="M930" i="2"/>
  <c r="O560" i="2"/>
  <c r="L560" i="2"/>
  <c r="I560" i="2"/>
  <c r="K637" i="2"/>
  <c r="I1127" i="2"/>
  <c r="P1127" i="2"/>
  <c r="J1127" i="2"/>
  <c r="I241" i="2"/>
  <c r="P637" i="2"/>
  <c r="O318" i="2"/>
  <c r="P560" i="2"/>
  <c r="L846" i="2"/>
  <c r="P262" i="2"/>
  <c r="K907" i="2"/>
  <c r="M854" i="2"/>
  <c r="M336" i="2"/>
  <c r="M155" i="2"/>
  <c r="O833" i="2"/>
  <c r="O751" i="2"/>
  <c r="O496" i="2"/>
  <c r="N1149" i="2"/>
  <c r="L512" i="2"/>
  <c r="N725" i="2"/>
  <c r="P300" i="2"/>
  <c r="M1048" i="2"/>
  <c r="P1126" i="2"/>
  <c r="I1126" i="2"/>
  <c r="J1126" i="2"/>
  <c r="P893" i="2" l="1"/>
  <c r="P777" i="2"/>
  <c r="L893" i="2"/>
  <c r="O637" i="2"/>
  <c r="L707" i="2"/>
  <c r="P707" i="2"/>
  <c r="N1001" i="2"/>
  <c r="O930" i="2"/>
  <c r="P930" i="2"/>
  <c r="O707" i="2"/>
  <c r="K440" i="2"/>
  <c r="J825" i="2"/>
  <c r="J707" i="2"/>
  <c r="J608" i="2"/>
  <c r="N702" i="2"/>
  <c r="K702" i="2"/>
  <c r="M725" i="2"/>
  <c r="I650" i="2"/>
  <c r="M650" i="2"/>
  <c r="K650" i="2"/>
  <c r="O650" i="2"/>
  <c r="L496" i="2"/>
  <c r="P496" i="2"/>
  <c r="J496" i="2"/>
  <c r="N496" i="2"/>
  <c r="I233" i="2"/>
  <c r="P233" i="2"/>
  <c r="I221" i="2"/>
  <c r="K233" i="2"/>
  <c r="N233" i="2"/>
  <c r="K221" i="2"/>
  <c r="J241" i="2"/>
  <c r="I318" i="2"/>
  <c r="L318" i="2"/>
  <c r="N318" i="2"/>
  <c r="P318" i="2"/>
  <c r="K846" i="2"/>
  <c r="I262" i="2"/>
  <c r="K262" i="2"/>
  <c r="O262" i="2"/>
  <c r="J907" i="2"/>
  <c r="L907" i="2"/>
  <c r="I155" i="2"/>
  <c r="J751" i="2"/>
  <c r="L751" i="2"/>
  <c r="N751" i="2"/>
  <c r="P751" i="2"/>
  <c r="I1149" i="2"/>
  <c r="K1149" i="2"/>
  <c r="M1149" i="2"/>
  <c r="P1149" i="2"/>
  <c r="M512" i="2"/>
  <c r="I300" i="2"/>
  <c r="K300" i="2"/>
  <c r="M300" i="2"/>
  <c r="O300" i="2"/>
  <c r="J865" i="2"/>
  <c r="M865" i="2"/>
  <c r="L542" i="2"/>
  <c r="L305" i="2"/>
  <c r="I434" i="2"/>
  <c r="K434" i="2"/>
  <c r="M434" i="2"/>
  <c r="O434" i="2"/>
  <c r="M983" i="2"/>
  <c r="J775" i="2"/>
  <c r="L775" i="2"/>
  <c r="K432" i="2"/>
  <c r="I312" i="2"/>
  <c r="K312" i="2"/>
  <c r="M312" i="2"/>
  <c r="O312" i="2"/>
  <c r="K608" i="2"/>
  <c r="M608" i="2"/>
  <c r="P608" i="2"/>
  <c r="I1180" i="2"/>
  <c r="K1180" i="2"/>
  <c r="M1180" i="2"/>
  <c r="O1180" i="2"/>
  <c r="I926" i="2"/>
  <c r="K926" i="2"/>
  <c r="N926" i="2"/>
  <c r="P926" i="2"/>
  <c r="L1159" i="2"/>
  <c r="M1159" i="2"/>
  <c r="K1159" i="2"/>
  <c r="O981" i="2"/>
  <c r="K981" i="2"/>
  <c r="L981" i="2"/>
  <c r="J981" i="2"/>
  <c r="O819" i="2"/>
  <c r="M819" i="2"/>
  <c r="K819" i="2"/>
  <c r="I819" i="2"/>
  <c r="P819" i="2"/>
  <c r="N819" i="2"/>
  <c r="L819" i="2"/>
  <c r="J819" i="2"/>
  <c r="P343" i="2"/>
  <c r="N343" i="2"/>
  <c r="L343" i="2"/>
  <c r="J343" i="2"/>
  <c r="O343" i="2"/>
  <c r="M343" i="2"/>
  <c r="K343" i="2"/>
  <c r="I343" i="2"/>
  <c r="O283" i="2"/>
  <c r="N283" i="2"/>
  <c r="M460" i="2"/>
  <c r="K460" i="2"/>
  <c r="L460" i="2"/>
  <c r="P779" i="2"/>
  <c r="L779" i="2"/>
  <c r="J779" i="2"/>
  <c r="O779" i="2"/>
  <c r="K779" i="2"/>
  <c r="I779" i="2"/>
  <c r="P791" i="2"/>
  <c r="N791" i="2"/>
  <c r="L791" i="2"/>
  <c r="O791" i="2"/>
  <c r="M791" i="2"/>
  <c r="K791" i="2"/>
  <c r="P728" i="2"/>
  <c r="L728" i="2"/>
  <c r="J728" i="2"/>
  <c r="M728" i="2"/>
  <c r="K728" i="2"/>
  <c r="I728" i="2"/>
  <c r="P84" i="2"/>
  <c r="M84" i="2"/>
  <c r="O84" i="2"/>
  <c r="P110" i="2"/>
  <c r="N110" i="2"/>
  <c r="L110" i="2"/>
  <c r="O110" i="2"/>
  <c r="M110" i="2"/>
  <c r="N637" i="2"/>
  <c r="K318" i="2"/>
  <c r="M318" i="2"/>
  <c r="K560" i="2"/>
  <c r="M560" i="2"/>
  <c r="J930" i="2"/>
  <c r="N930" i="2"/>
  <c r="J262" i="2"/>
  <c r="N262" i="2"/>
  <c r="I907" i="2"/>
  <c r="J833" i="2"/>
  <c r="M833" i="2"/>
  <c r="I751" i="2"/>
  <c r="K751" i="2"/>
  <c r="M751" i="2"/>
  <c r="I496" i="2"/>
  <c r="K496" i="2"/>
  <c r="M496" i="2"/>
  <c r="J1149" i="2"/>
  <c r="L1149" i="2"/>
  <c r="J300" i="2"/>
  <c r="L300" i="2"/>
  <c r="N300" i="2"/>
  <c r="I865" i="2"/>
  <c r="L865" i="2"/>
  <c r="J650" i="2"/>
  <c r="L650" i="2"/>
  <c r="K542" i="2"/>
  <c r="J434" i="2"/>
  <c r="L434" i="2"/>
  <c r="N434" i="2"/>
  <c r="I893" i="2"/>
  <c r="M893" i="2"/>
  <c r="I983" i="2"/>
  <c r="J233" i="2"/>
  <c r="M233" i="2"/>
  <c r="I600" i="2"/>
  <c r="L600" i="2"/>
  <c r="I775" i="2"/>
  <c r="K775" i="2"/>
  <c r="I707" i="2"/>
  <c r="K707" i="2"/>
  <c r="M707" i="2"/>
  <c r="I559" i="2"/>
  <c r="K559" i="2"/>
  <c r="M559" i="2"/>
  <c r="J312" i="2"/>
  <c r="L312" i="2"/>
  <c r="N312" i="2"/>
  <c r="I608" i="2"/>
  <c r="L608" i="2"/>
  <c r="O608" i="2"/>
  <c r="J1180" i="2"/>
  <c r="L1180" i="2"/>
  <c r="N1180" i="2"/>
  <c r="J221" i="2"/>
  <c r="J926" i="2"/>
  <c r="L926" i="2"/>
  <c r="K443" i="2"/>
  <c r="M443" i="2"/>
  <c r="N252" i="2"/>
  <c r="I252" i="2"/>
  <c r="O252" i="2"/>
  <c r="J252" i="2"/>
  <c r="P634" i="2"/>
  <c r="N634" i="2"/>
  <c r="O634" i="2"/>
  <c r="I634" i="2"/>
  <c r="L514" i="2"/>
  <c r="K514" i="2"/>
  <c r="J514" i="2"/>
  <c r="M494" i="2"/>
  <c r="K494" i="2"/>
  <c r="I494" i="2"/>
  <c r="O494" i="2"/>
  <c r="L494" i="2"/>
  <c r="J494" i="2"/>
  <c r="P1145" i="2"/>
  <c r="N1145" i="2"/>
  <c r="L1145" i="2"/>
  <c r="J1145" i="2"/>
  <c r="O1145" i="2"/>
  <c r="M1145" i="2"/>
  <c r="K1145" i="2"/>
  <c r="I1145" i="2"/>
  <c r="O338" i="2"/>
  <c r="M338" i="2"/>
  <c r="K338" i="2"/>
  <c r="P338" i="2"/>
  <c r="N338" i="2"/>
  <c r="L338" i="2"/>
  <c r="I338" i="2"/>
  <c r="M192" i="2"/>
  <c r="K192" i="2"/>
  <c r="I192" i="2"/>
  <c r="N192" i="2"/>
  <c r="L192" i="2"/>
  <c r="J192" i="2"/>
  <c r="O990" i="2"/>
  <c r="I990" i="2"/>
  <c r="P990" i="2"/>
  <c r="N990" i="2"/>
  <c r="N96" i="2"/>
  <c r="K96" i="2"/>
  <c r="I96" i="2"/>
  <c r="M96" i="2"/>
  <c r="J96" i="2"/>
  <c r="N959" i="2"/>
  <c r="O959" i="2"/>
  <c r="M959" i="2"/>
  <c r="N92" i="2"/>
  <c r="L92" i="2"/>
  <c r="J92" i="2"/>
  <c r="M92" i="2"/>
  <c r="K92" i="2"/>
  <c r="O366" i="2"/>
  <c r="P366" i="2"/>
  <c r="O856" i="2"/>
  <c r="M856" i="2"/>
  <c r="K856" i="2"/>
  <c r="P856" i="2"/>
  <c r="N856" i="2"/>
  <c r="L856" i="2"/>
  <c r="I856" i="2"/>
  <c r="K444" i="2"/>
  <c r="M444" i="2"/>
  <c r="O444" i="2"/>
  <c r="I444" i="2"/>
  <c r="L444" i="2"/>
  <c r="N444" i="2"/>
  <c r="J860" i="2"/>
  <c r="L860" i="2"/>
  <c r="O860" i="2"/>
  <c r="I860" i="2"/>
  <c r="K860" i="2"/>
  <c r="N860" i="2"/>
  <c r="K294" i="2"/>
  <c r="K209" i="2"/>
  <c r="P829" i="2"/>
  <c r="N829" i="2"/>
  <c r="L829" i="2"/>
  <c r="P917" i="2"/>
  <c r="P359" i="2"/>
  <c r="O952" i="2"/>
  <c r="M952" i="2"/>
  <c r="K952" i="2"/>
  <c r="I952" i="2"/>
  <c r="O287" i="2"/>
  <c r="M814" i="2"/>
  <c r="N657" i="2"/>
  <c r="N140" i="2"/>
  <c r="P1182" i="2"/>
  <c r="O1167" i="2"/>
  <c r="O829" i="2"/>
  <c r="O491" i="2"/>
  <c r="J261" i="2"/>
  <c r="O261" i="2"/>
  <c r="O299" i="2"/>
  <c r="L862" i="2"/>
  <c r="O630" i="2"/>
  <c r="P340" i="2"/>
  <c r="P235" i="2"/>
  <c r="O618" i="2"/>
  <c r="P261" i="2"/>
  <c r="P354" i="2"/>
  <c r="P743" i="2"/>
  <c r="L1070" i="2"/>
  <c r="P128" i="2"/>
  <c r="P287" i="2"/>
  <c r="N525" i="2"/>
  <c r="K916" i="2"/>
  <c r="M649" i="2"/>
  <c r="O403" i="2"/>
  <c r="P952" i="2"/>
  <c r="O719" i="2"/>
  <c r="O359" i="2"/>
  <c r="O814" i="2" l="1"/>
  <c r="M657" i="2"/>
  <c r="O862" i="2"/>
  <c r="J862" i="2"/>
  <c r="J814" i="2"/>
  <c r="O1001" i="2"/>
  <c r="P862" i="2"/>
  <c r="I261" i="2"/>
  <c r="L657" i="2"/>
  <c r="P814" i="2"/>
  <c r="M287" i="2"/>
  <c r="N359" i="2"/>
  <c r="L917" i="2"/>
  <c r="J924" i="2"/>
  <c r="O924" i="2"/>
  <c r="N862" i="2"/>
  <c r="O165" i="2"/>
  <c r="L359" i="2"/>
  <c r="I917" i="2"/>
  <c r="O917" i="2"/>
  <c r="P924" i="2"/>
  <c r="N128" i="2"/>
  <c r="I128" i="2"/>
  <c r="M1182" i="2"/>
  <c r="O1182" i="2"/>
  <c r="L235" i="2"/>
  <c r="J235" i="2"/>
  <c r="L128" i="2"/>
  <c r="N630" i="2"/>
  <c r="K340" i="2"/>
  <c r="O340" i="2"/>
  <c r="N165" i="2"/>
  <c r="J299" i="2"/>
  <c r="N299" i="2"/>
  <c r="P299" i="2"/>
  <c r="J491" i="2"/>
  <c r="N491" i="2"/>
  <c r="P491" i="2"/>
  <c r="L140" i="2"/>
  <c r="J354" i="2"/>
  <c r="O354" i="2"/>
  <c r="N354" i="2"/>
  <c r="M743" i="2"/>
  <c r="K525" i="2"/>
  <c r="L916" i="2"/>
  <c r="M340" i="2"/>
  <c r="J165" i="2"/>
  <c r="L299" i="2"/>
  <c r="J618" i="2"/>
  <c r="N618" i="2"/>
  <c r="P618" i="2"/>
  <c r="L491" i="2"/>
  <c r="J140" i="2"/>
  <c r="P140" i="2"/>
  <c r="L354" i="2"/>
  <c r="I743" i="2"/>
  <c r="M525" i="2"/>
  <c r="L403" i="2"/>
  <c r="L1167" i="2"/>
  <c r="M630" i="2"/>
  <c r="I862" i="2"/>
  <c r="K862" i="2"/>
  <c r="M862" i="2"/>
  <c r="I340" i="2"/>
  <c r="L340" i="2"/>
  <c r="N340" i="2"/>
  <c r="I165" i="2"/>
  <c r="I299" i="2"/>
  <c r="K299" i="2"/>
  <c r="M299" i="2"/>
  <c r="I235" i="2"/>
  <c r="K235" i="2"/>
  <c r="I618" i="2"/>
  <c r="L618" i="2"/>
  <c r="I491" i="2"/>
  <c r="K491" i="2"/>
  <c r="M491" i="2"/>
  <c r="I1182" i="2"/>
  <c r="N1182" i="2"/>
  <c r="I140" i="2"/>
  <c r="K140" i="2"/>
  <c r="I354" i="2"/>
  <c r="K354" i="2"/>
  <c r="M354" i="2"/>
  <c r="J743" i="2"/>
  <c r="I814" i="2"/>
  <c r="K814" i="2"/>
  <c r="K128" i="2"/>
  <c r="M128" i="2"/>
  <c r="J287" i="2"/>
  <c r="N287" i="2"/>
  <c r="I525" i="2"/>
  <c r="L525" i="2"/>
  <c r="K403" i="2"/>
  <c r="J952" i="2"/>
  <c r="L952" i="2"/>
  <c r="N952" i="2"/>
  <c r="I359" i="2"/>
  <c r="M359" i="2"/>
  <c r="J917" i="2"/>
  <c r="M917" i="2"/>
  <c r="K1167" i="2"/>
  <c r="J829" i="2"/>
  <c r="M829" i="2"/>
  <c r="I497" i="2"/>
  <c r="P497" i="2"/>
  <c r="O1168" i="2"/>
  <c r="K1168" i="2"/>
  <c r="L1168" i="2"/>
  <c r="P1037" i="2"/>
  <c r="L912" i="2"/>
  <c r="P1102" i="2"/>
  <c r="P782" i="2"/>
  <c r="K942" i="2"/>
  <c r="O492" i="2"/>
  <c r="N1093" i="2"/>
  <c r="M578" i="2"/>
  <c r="M120" i="2"/>
  <c r="O590" i="2"/>
  <c r="O1024" i="2"/>
  <c r="P667" i="2"/>
  <c r="P1044" i="2"/>
  <c r="L188" i="2"/>
  <c r="P503" i="2"/>
  <c r="P988" i="2"/>
  <c r="O148" i="2"/>
  <c r="O81" i="2"/>
  <c r="J181" i="2"/>
  <c r="O957" i="2"/>
  <c r="O500" i="2"/>
  <c r="P538" i="2"/>
  <c r="O933" i="2"/>
  <c r="N549" i="2"/>
  <c r="N668" i="2"/>
  <c r="L1030" i="2"/>
  <c r="O73" i="2"/>
  <c r="K68" i="2"/>
  <c r="O71" i="2"/>
  <c r="P76" i="2"/>
  <c r="O76" i="2"/>
  <c r="N76" i="2"/>
  <c r="M76" i="2"/>
  <c r="L76" i="2"/>
  <c r="K76" i="2"/>
  <c r="I76" i="2"/>
  <c r="P75" i="2"/>
  <c r="O75" i="2"/>
  <c r="N75" i="2"/>
  <c r="M75" i="2"/>
  <c r="L75" i="2"/>
  <c r="K75" i="2"/>
  <c r="J75" i="2"/>
  <c r="M322" i="2"/>
  <c r="N329" i="2"/>
  <c r="K329" i="2"/>
  <c r="N1107" i="2"/>
  <c r="O946" i="2"/>
  <c r="M946" i="2"/>
  <c r="J946" i="2"/>
  <c r="N670" i="2"/>
  <c r="M166" i="2"/>
  <c r="P1111" i="2"/>
  <c r="P166" i="2"/>
  <c r="P946" i="2"/>
  <c r="O329" i="2"/>
  <c r="O1025" i="2"/>
  <c r="O159" i="2"/>
  <c r="N1063" i="2"/>
  <c r="N466" i="2"/>
  <c r="N830" i="2"/>
  <c r="P314" i="2"/>
  <c r="P442" i="2"/>
  <c r="L1097" i="2"/>
  <c r="M909" i="2"/>
  <c r="L901" i="2"/>
  <c r="M836" i="2"/>
  <c r="P1183" i="2"/>
  <c r="N815" i="2"/>
  <c r="O920" i="2"/>
  <c r="O921" i="2"/>
  <c r="P897" i="2"/>
  <c r="N877" i="2"/>
  <c r="P1156" i="2"/>
  <c r="N467" i="2"/>
  <c r="O183" i="2"/>
  <c r="P906" i="2"/>
  <c r="P1052" i="2"/>
  <c r="I166" i="2" l="1"/>
  <c r="P886" i="2"/>
  <c r="O1125" i="2"/>
  <c r="L793" i="2"/>
  <c r="N1056" i="2"/>
  <c r="K166" i="2"/>
  <c r="O166" i="2"/>
  <c r="P159" i="2"/>
  <c r="J68" i="2"/>
  <c r="J670" i="2"/>
  <c r="L670" i="2"/>
  <c r="P670" i="2"/>
  <c r="M1107" i="2"/>
  <c r="J1025" i="2"/>
  <c r="L1025" i="2"/>
  <c r="N1025" i="2"/>
  <c r="P1025" i="2"/>
  <c r="J1063" i="2"/>
  <c r="M1063" i="2"/>
  <c r="P1063" i="2"/>
  <c r="J466" i="2"/>
  <c r="L466" i="2"/>
  <c r="O466" i="2"/>
  <c r="K830" i="2"/>
  <c r="M830" i="2"/>
  <c r="I314" i="2"/>
  <c r="K314" i="2"/>
  <c r="M314" i="2"/>
  <c r="O314" i="2"/>
  <c r="M442" i="2"/>
  <c r="O442" i="2"/>
  <c r="K1097" i="2"/>
  <c r="J909" i="2"/>
  <c r="L909" i="2"/>
  <c r="I901" i="2"/>
  <c r="K901" i="2"/>
  <c r="M901" i="2"/>
  <c r="I836" i="2"/>
  <c r="L836" i="2"/>
  <c r="N73" i="2"/>
  <c r="P73" i="2"/>
  <c r="L71" i="2"/>
  <c r="N71" i="2"/>
  <c r="P71" i="2"/>
  <c r="K912" i="2"/>
  <c r="I181" i="2"/>
  <c r="P181" i="2"/>
  <c r="M1037" i="2"/>
  <c r="O1037" i="2"/>
  <c r="N957" i="2"/>
  <c r="P957" i="2"/>
  <c r="J500" i="2"/>
  <c r="L500" i="2"/>
  <c r="N500" i="2"/>
  <c r="P500" i="2"/>
  <c r="I538" i="2"/>
  <c r="M538" i="2"/>
  <c r="O538" i="2"/>
  <c r="I933" i="2"/>
  <c r="K933" i="2"/>
  <c r="M933" i="2"/>
  <c r="P933" i="2"/>
  <c r="J549" i="2"/>
  <c r="P549" i="2"/>
  <c r="J668" i="2"/>
  <c r="M668" i="2"/>
  <c r="K1030" i="2"/>
  <c r="O646" i="2"/>
  <c r="P646" i="2"/>
  <c r="O1141" i="2"/>
  <c r="M1141" i="2"/>
  <c r="N1141" i="2"/>
  <c r="K1141" i="2"/>
  <c r="N371" i="2"/>
  <c r="L371" i="2"/>
  <c r="I371" i="2"/>
  <c r="O371" i="2"/>
  <c r="M371" i="2"/>
  <c r="K371" i="2"/>
  <c r="P1171" i="2"/>
  <c r="M1171" i="2"/>
  <c r="I1171" i="2"/>
  <c r="J1171" i="2"/>
  <c r="N1171" i="2"/>
  <c r="N835" i="2"/>
  <c r="M835" i="2"/>
  <c r="M882" i="2"/>
  <c r="K882" i="2"/>
  <c r="L882" i="2"/>
  <c r="N882" i="2"/>
  <c r="P605" i="2"/>
  <c r="N605" i="2"/>
  <c r="L605" i="2"/>
  <c r="J605" i="2"/>
  <c r="M605" i="2"/>
  <c r="K605" i="2"/>
  <c r="O605" i="2"/>
  <c r="I605" i="2"/>
  <c r="M189" i="2"/>
  <c r="K189" i="2"/>
  <c r="I189" i="2"/>
  <c r="L189" i="2"/>
  <c r="J189" i="2"/>
  <c r="K872" i="2"/>
  <c r="L872" i="2"/>
  <c r="J872" i="2"/>
  <c r="I950" i="2"/>
  <c r="P950" i="2"/>
  <c r="O925" i="2"/>
  <c r="L925" i="2"/>
  <c r="J925" i="2"/>
  <c r="P925" i="2"/>
  <c r="K925" i="2"/>
  <c r="I925" i="2"/>
  <c r="M925" i="2"/>
  <c r="J166" i="2"/>
  <c r="L166" i="2"/>
  <c r="N166" i="2"/>
  <c r="I670" i="2"/>
  <c r="K670" i="2"/>
  <c r="I946" i="2"/>
  <c r="L946" i="2"/>
  <c r="N946" i="2"/>
  <c r="L1107" i="2"/>
  <c r="L329" i="2"/>
  <c r="K1025" i="2"/>
  <c r="M1025" i="2"/>
  <c r="N159" i="2"/>
  <c r="I1063" i="2"/>
  <c r="K1063" i="2"/>
  <c r="I466" i="2"/>
  <c r="K466" i="2"/>
  <c r="J830" i="2"/>
  <c r="L830" i="2"/>
  <c r="J314" i="2"/>
  <c r="L314" i="2"/>
  <c r="N314" i="2"/>
  <c r="I442" i="2"/>
  <c r="N442" i="2"/>
  <c r="I909" i="2"/>
  <c r="K909" i="2"/>
  <c r="J901" i="2"/>
  <c r="J836" i="2"/>
  <c r="M73" i="2"/>
  <c r="I68" i="2"/>
  <c r="M71" i="2"/>
  <c r="J912" i="2"/>
  <c r="N1037" i="2"/>
  <c r="I500" i="2"/>
  <c r="K500" i="2"/>
  <c r="M500" i="2"/>
  <c r="K538" i="2"/>
  <c r="N538" i="2"/>
  <c r="J933" i="2"/>
  <c r="L933" i="2"/>
  <c r="I549" i="2"/>
  <c r="I668" i="2"/>
  <c r="L668" i="2"/>
  <c r="J1030" i="2"/>
  <c r="O118" i="2"/>
  <c r="M118" i="2"/>
  <c r="K118" i="2"/>
  <c r="I118" i="2"/>
  <c r="P118" i="2"/>
  <c r="N118" i="2"/>
  <c r="J118" i="2"/>
  <c r="L118" i="2"/>
  <c r="L974" i="2"/>
  <c r="J974" i="2"/>
  <c r="K974" i="2"/>
  <c r="I974" i="2"/>
  <c r="I356" i="2"/>
  <c r="J356" i="2"/>
  <c r="K451" i="2"/>
  <c r="P451" i="2"/>
  <c r="J451" i="2"/>
  <c r="N182" i="2"/>
  <c r="K182" i="2"/>
  <c r="M182" i="2"/>
  <c r="P182" i="2"/>
  <c r="J182" i="2"/>
  <c r="P676" i="2"/>
  <c r="M676" i="2"/>
  <c r="K676" i="2"/>
  <c r="L676" i="2"/>
  <c r="O676" i="2"/>
  <c r="N295" i="2"/>
  <c r="O295" i="2"/>
  <c r="L436" i="2"/>
  <c r="J436" i="2"/>
  <c r="M436" i="2"/>
  <c r="K436" i="2"/>
  <c r="O567" i="2"/>
  <c r="L567" i="2"/>
  <c r="N567" i="2"/>
  <c r="O405" i="2"/>
  <c r="M405" i="2"/>
  <c r="K405" i="2"/>
  <c r="I405" i="2"/>
  <c r="P405" i="2"/>
  <c r="N405" i="2"/>
  <c r="L405" i="2"/>
  <c r="J405" i="2"/>
  <c r="P794" i="2"/>
  <c r="N794" i="2"/>
  <c r="L794" i="2"/>
  <c r="J794" i="2"/>
  <c r="O794" i="2"/>
  <c r="K794" i="2"/>
  <c r="I794" i="2"/>
  <c r="M794" i="2"/>
  <c r="M598" i="2"/>
  <c r="K598" i="2"/>
  <c r="L598" i="2"/>
  <c r="O1128" i="2"/>
  <c r="M1128" i="2"/>
  <c r="K1128" i="2"/>
  <c r="I1128" i="2"/>
  <c r="P1128" i="2"/>
  <c r="L1128" i="2"/>
  <c r="J1128" i="2"/>
  <c r="N1128" i="2"/>
  <c r="P350" i="2"/>
  <c r="J350" i="2"/>
  <c r="I350" i="2"/>
  <c r="N350" i="2"/>
  <c r="I598" i="2"/>
  <c r="J598" i="2"/>
  <c r="J1183" i="2"/>
  <c r="L1183" i="2"/>
  <c r="O1183" i="2"/>
  <c r="J815" i="2"/>
  <c r="O815" i="2"/>
  <c r="N920" i="2"/>
  <c r="N921" i="2"/>
  <c r="J897" i="2"/>
  <c r="J877" i="2"/>
  <c r="M877" i="2"/>
  <c r="O877" i="2"/>
  <c r="I1156" i="2"/>
  <c r="K1156" i="2"/>
  <c r="M1156" i="2"/>
  <c r="O1156" i="2"/>
  <c r="I467" i="2"/>
  <c r="K467" i="2"/>
  <c r="J183" i="2"/>
  <c r="N183" i="2"/>
  <c r="J906" i="2"/>
  <c r="M906" i="2"/>
  <c r="O906" i="2"/>
  <c r="M1052" i="2"/>
  <c r="O1052" i="2"/>
  <c r="K1111" i="2"/>
  <c r="M1111" i="2"/>
  <c r="O1111" i="2"/>
  <c r="J322" i="2"/>
  <c r="L322" i="2"/>
  <c r="M1093" i="2"/>
  <c r="N1125" i="2"/>
  <c r="J942" i="2"/>
  <c r="P942" i="2"/>
  <c r="M1056" i="2"/>
  <c r="N120" i="2"/>
  <c r="I590" i="2"/>
  <c r="K590" i="2"/>
  <c r="M590" i="2"/>
  <c r="I667" i="2"/>
  <c r="O667" i="2"/>
  <c r="I1044" i="2"/>
  <c r="K1044" i="2"/>
  <c r="M1044" i="2"/>
  <c r="O1044" i="2"/>
  <c r="I188" i="2"/>
  <c r="K188" i="2"/>
  <c r="N188" i="2"/>
  <c r="P188" i="2"/>
  <c r="I503" i="2"/>
  <c r="O503" i="2"/>
  <c r="M988" i="2"/>
  <c r="O988" i="2"/>
  <c r="N148" i="2"/>
  <c r="P148" i="2"/>
  <c r="K782" i="2"/>
  <c r="O782" i="2"/>
  <c r="J81" i="2"/>
  <c r="N81" i="2"/>
  <c r="P81" i="2"/>
  <c r="J1102" i="2"/>
  <c r="L1102" i="2"/>
  <c r="O1102" i="2"/>
  <c r="I1183" i="2"/>
  <c r="K1183" i="2"/>
  <c r="M1183" i="2"/>
  <c r="I886" i="2"/>
  <c r="I815" i="2"/>
  <c r="I897" i="2"/>
  <c r="I877" i="2"/>
  <c r="L877" i="2"/>
  <c r="J1156" i="2"/>
  <c r="L1156" i="2"/>
  <c r="N1156" i="2"/>
  <c r="J467" i="2"/>
  <c r="M183" i="2"/>
  <c r="L906" i="2"/>
  <c r="N906" i="2"/>
  <c r="N1052" i="2"/>
  <c r="L1111" i="2"/>
  <c r="N1111" i="2"/>
  <c r="K322" i="2"/>
  <c r="L1093" i="2"/>
  <c r="J1125" i="2"/>
  <c r="I942" i="2"/>
  <c r="L1056" i="2"/>
  <c r="J590" i="2"/>
  <c r="L590" i="2"/>
  <c r="N667" i="2"/>
  <c r="J1044" i="2"/>
  <c r="L1044" i="2"/>
  <c r="N1044" i="2"/>
  <c r="J188" i="2"/>
  <c r="M188" i="2"/>
  <c r="O188" i="2"/>
  <c r="N503" i="2"/>
  <c r="L988" i="2"/>
  <c r="N988" i="2"/>
  <c r="M148" i="2"/>
  <c r="L782" i="2"/>
  <c r="I81" i="2"/>
  <c r="K81" i="2"/>
  <c r="K1102" i="2"/>
  <c r="N1102" i="2"/>
  <c r="N1011" i="2"/>
  <c r="I152" i="2"/>
  <c r="K694" i="2"/>
  <c r="M908" i="2"/>
  <c r="P323" i="2"/>
  <c r="M732" i="2"/>
  <c r="I99" i="2"/>
  <c r="P351" i="2"/>
  <c r="P468" i="2"/>
  <c r="O449" i="2"/>
  <c r="O550" i="2"/>
  <c r="P651" i="2"/>
  <c r="J927" i="2"/>
  <c r="J220" i="2"/>
  <c r="M889" i="2"/>
  <c r="O391" i="2"/>
  <c r="J776" i="2"/>
  <c r="P748" i="2"/>
  <c r="K609" i="2"/>
  <c r="J86" i="2"/>
  <c r="O939" i="2"/>
  <c r="M752" i="2"/>
  <c r="L337" i="2"/>
  <c r="K337" i="2"/>
  <c r="M254" i="2"/>
  <c r="J219" i="2"/>
  <c r="M822" i="2"/>
  <c r="P223" i="2"/>
  <c r="N799" i="2"/>
  <c r="O688" i="2"/>
  <c r="M879" i="2"/>
  <c r="M370" i="2"/>
  <c r="P194" i="2"/>
  <c r="J370" i="2"/>
  <c r="M772" i="2"/>
  <c r="O1089" i="2"/>
  <c r="P752" i="2" l="1"/>
  <c r="O752" i="2"/>
  <c r="K752" i="2"/>
  <c r="K886" i="2"/>
  <c r="K793" i="2"/>
  <c r="N79" i="2"/>
  <c r="L79" i="2"/>
  <c r="M79" i="2"/>
  <c r="N313" i="2"/>
  <c r="L222" i="2"/>
  <c r="O1078" i="2"/>
  <c r="L216" i="2"/>
  <c r="N207" i="2"/>
  <c r="P839" i="2"/>
  <c r="M438" i="2"/>
  <c r="I752" i="2"/>
  <c r="P803" i="2"/>
  <c r="M222" i="2"/>
  <c r="J207" i="2"/>
  <c r="L207" i="2"/>
  <c r="O216" i="2"/>
  <c r="M207" i="2"/>
  <c r="O207" i="2"/>
  <c r="N1089" i="2"/>
  <c r="I839" i="2"/>
  <c r="K839" i="2"/>
  <c r="M839" i="2"/>
  <c r="I772" i="2"/>
  <c r="L772" i="2"/>
  <c r="O772" i="2"/>
  <c r="J254" i="2"/>
  <c r="K438" i="2"/>
  <c r="N438" i="2"/>
  <c r="I219" i="2"/>
  <c r="N219" i="2"/>
  <c r="L822" i="2"/>
  <c r="K223" i="2"/>
  <c r="J799" i="2"/>
  <c r="L879" i="2"/>
  <c r="L799" i="2"/>
  <c r="N822" i="2"/>
  <c r="N688" i="2"/>
  <c r="M688" i="2"/>
  <c r="O879" i="2"/>
  <c r="O799" i="2"/>
  <c r="P879" i="2"/>
  <c r="L370" i="2"/>
  <c r="N370" i="2"/>
  <c r="J752" i="2"/>
  <c r="L752" i="2"/>
  <c r="N752" i="2"/>
  <c r="M313" i="2"/>
  <c r="K351" i="2"/>
  <c r="M351" i="2"/>
  <c r="O351" i="2"/>
  <c r="I468" i="2"/>
  <c r="K468" i="2"/>
  <c r="M468" i="2"/>
  <c r="O468" i="2"/>
  <c r="I449" i="2"/>
  <c r="L449" i="2"/>
  <c r="N449" i="2"/>
  <c r="P449" i="2"/>
  <c r="J550" i="2"/>
  <c r="L550" i="2"/>
  <c r="N550" i="2"/>
  <c r="P550" i="2"/>
  <c r="K803" i="2"/>
  <c r="M803" i="2"/>
  <c r="N222" i="2"/>
  <c r="I651" i="2"/>
  <c r="M651" i="2"/>
  <c r="O651" i="2"/>
  <c r="O927" i="2"/>
  <c r="M220" i="2"/>
  <c r="O220" i="2"/>
  <c r="K220" i="2"/>
  <c r="I220" i="2"/>
  <c r="K889" i="2"/>
  <c r="P889" i="2"/>
  <c r="J323" i="2"/>
  <c r="L323" i="2"/>
  <c r="O323" i="2"/>
  <c r="I391" i="2"/>
  <c r="L391" i="2"/>
  <c r="N391" i="2"/>
  <c r="I776" i="2"/>
  <c r="K748" i="2"/>
  <c r="M748" i="2"/>
  <c r="J694" i="2"/>
  <c r="L694" i="2"/>
  <c r="I86" i="2"/>
  <c r="P86" i="2"/>
  <c r="J939" i="2"/>
  <c r="L939" i="2"/>
  <c r="N939" i="2"/>
  <c r="P939" i="2"/>
  <c r="J908" i="2"/>
  <c r="L908" i="2"/>
  <c r="P908" i="2"/>
  <c r="K1011" i="2"/>
  <c r="M1011" i="2"/>
  <c r="I207" i="2"/>
  <c r="K207" i="2"/>
  <c r="N216" i="2"/>
  <c r="P216" i="2"/>
  <c r="J1089" i="2"/>
  <c r="J839" i="2"/>
  <c r="L839" i="2"/>
  <c r="K772" i="2"/>
  <c r="I254" i="2"/>
  <c r="J822" i="2"/>
  <c r="M223" i="2"/>
  <c r="K799" i="2"/>
  <c r="I879" i="2"/>
  <c r="L688" i="2"/>
  <c r="N879" i="2"/>
  <c r="K370" i="2"/>
  <c r="O370" i="2"/>
  <c r="I351" i="2"/>
  <c r="L351" i="2"/>
  <c r="N351" i="2"/>
  <c r="J468" i="2"/>
  <c r="L468" i="2"/>
  <c r="N468" i="2"/>
  <c r="K449" i="2"/>
  <c r="M449" i="2"/>
  <c r="I550" i="2"/>
  <c r="K550" i="2"/>
  <c r="M550" i="2"/>
  <c r="L803" i="2"/>
  <c r="J651" i="2"/>
  <c r="N651" i="2"/>
  <c r="P220" i="2"/>
  <c r="L220" i="2"/>
  <c r="J889" i="2"/>
  <c r="L889" i="2"/>
  <c r="I323" i="2"/>
  <c r="K323" i="2"/>
  <c r="M323" i="2"/>
  <c r="J391" i="2"/>
  <c r="M391" i="2"/>
  <c r="J748" i="2"/>
  <c r="L748" i="2"/>
  <c r="I694" i="2"/>
  <c r="I939" i="2"/>
  <c r="K939" i="2"/>
  <c r="M939" i="2"/>
  <c r="I908" i="2"/>
  <c r="K908" i="2"/>
  <c r="L1011" i="2"/>
  <c r="K194" i="2"/>
  <c r="O194" i="2"/>
  <c r="I194" i="2"/>
  <c r="M194" i="2"/>
  <c r="K157" i="2"/>
  <c r="J157" i="2"/>
  <c r="I216" i="2"/>
  <c r="K216" i="2"/>
  <c r="M216" i="2"/>
  <c r="J194" i="2"/>
  <c r="L194" i="2"/>
  <c r="N194" i="2"/>
  <c r="J216" i="2"/>
  <c r="K71" i="2"/>
  <c r="J71" i="2"/>
  <c r="P222" i="2" l="1"/>
  <c r="K222" i="2"/>
  <c r="E1185" i="2"/>
  <c r="E1187" i="2" s="1"/>
  <c r="E1186" i="2" l="1"/>
</calcChain>
</file>

<file path=xl/sharedStrings.xml><?xml version="1.0" encoding="utf-8"?>
<sst xmlns="http://schemas.openxmlformats.org/spreadsheetml/2006/main" count="3628" uniqueCount="2344">
  <si>
    <t xml:space="preserve">    '691164'</t>
  </si>
  <si>
    <t xml:space="preserve">    '720361'</t>
  </si>
  <si>
    <t xml:space="preserve">    '720362'</t>
  </si>
  <si>
    <t xml:space="preserve">    '720363'</t>
  </si>
  <si>
    <t xml:space="preserve">    '722031'</t>
  </si>
  <si>
    <t xml:space="preserve">    '722230'</t>
  </si>
  <si>
    <t xml:space="preserve">    '722235'</t>
  </si>
  <si>
    <t xml:space="preserve">    '722238'</t>
  </si>
  <si>
    <t xml:space="preserve">    '722239'</t>
  </si>
  <si>
    <t xml:space="preserve">    '722260'</t>
  </si>
  <si>
    <t xml:space="preserve">    '722265'</t>
  </si>
  <si>
    <t xml:space="preserve">    '722266'</t>
  </si>
  <si>
    <t xml:space="preserve">    '722267'</t>
  </si>
  <si>
    <t xml:space="preserve">    '722268'</t>
  </si>
  <si>
    <t xml:space="preserve">    '722269'</t>
  </si>
  <si>
    <t xml:space="preserve">    '722275'</t>
  </si>
  <si>
    <t xml:space="preserve">    '722276'</t>
  </si>
  <si>
    <t xml:space="preserve">    '722279'</t>
  </si>
  <si>
    <t xml:space="preserve">    '722280'</t>
  </si>
  <si>
    <t xml:space="preserve">    '722286'</t>
  </si>
  <si>
    <t xml:space="preserve">    '722287'</t>
  </si>
  <si>
    <t xml:space="preserve">    '722300'</t>
  </si>
  <si>
    <t xml:space="preserve">    '723230'</t>
  </si>
  <si>
    <t xml:space="preserve">    '723231'</t>
  </si>
  <si>
    <t xml:space="preserve">    '723235'</t>
  </si>
  <si>
    <t xml:space="preserve">    '720377'</t>
  </si>
  <si>
    <t xml:space="preserve">    '722054'</t>
  </si>
  <si>
    <t xml:space="preserve">    '722188'</t>
  </si>
  <si>
    <t xml:space="preserve">    '723400'</t>
  </si>
  <si>
    <t xml:space="preserve">    '723401'</t>
  </si>
  <si>
    <t xml:space="preserve">    '723403'</t>
  </si>
  <si>
    <t xml:space="preserve">    '723405'</t>
  </si>
  <si>
    <t xml:space="preserve">    '723407'</t>
  </si>
  <si>
    <t xml:space="preserve">    '723408'</t>
  </si>
  <si>
    <t xml:space="preserve">    '723409'</t>
  </si>
  <si>
    <t xml:space="preserve">    '723415'</t>
  </si>
  <si>
    <t xml:space="preserve">    '723417'</t>
  </si>
  <si>
    <t xml:space="preserve">    '723418'</t>
  </si>
  <si>
    <t xml:space="preserve">    '723419'</t>
  </si>
  <si>
    <t xml:space="preserve">    '723424'</t>
  </si>
  <si>
    <t xml:space="preserve">    '723429'</t>
  </si>
  <si>
    <t xml:space="preserve">    '723434'</t>
  </si>
  <si>
    <t xml:space="preserve">    '723435'</t>
  </si>
  <si>
    <t xml:space="preserve">    '723436'</t>
  </si>
  <si>
    <t xml:space="preserve">    '723440'</t>
  </si>
  <si>
    <t xml:space="preserve">    '723445'</t>
  </si>
  <si>
    <t xml:space="preserve">    '723446'</t>
  </si>
  <si>
    <t xml:space="preserve">    '723449'</t>
  </si>
  <si>
    <t xml:space="preserve">    '743312'</t>
  </si>
  <si>
    <t xml:space="preserve">    '691414'</t>
  </si>
  <si>
    <t xml:space="preserve">    '699604'</t>
  </si>
  <si>
    <t xml:space="preserve">    '720333'</t>
  </si>
  <si>
    <t xml:space="preserve">    '722720'</t>
  </si>
  <si>
    <t xml:space="preserve">    '722726'</t>
  </si>
  <si>
    <t xml:space="preserve">    '722728'</t>
  </si>
  <si>
    <t xml:space="preserve">    '722730'</t>
  </si>
  <si>
    <t xml:space="preserve">    '722735'</t>
  </si>
  <si>
    <t xml:space="preserve">    '722740'</t>
  </si>
  <si>
    <t xml:space="preserve">    '722745'</t>
  </si>
  <si>
    <t xml:space="preserve">    '722747'</t>
  </si>
  <si>
    <t xml:space="preserve">    '722764'</t>
  </si>
  <si>
    <t xml:space="preserve">    '722780'</t>
  </si>
  <si>
    <t xml:space="preserve">    '722784'</t>
  </si>
  <si>
    <t xml:space="preserve">    '722785'</t>
  </si>
  <si>
    <t xml:space="preserve">    '722786'</t>
  </si>
  <si>
    <t xml:space="preserve">    '722789'</t>
  </si>
  <si>
    <t xml:space="preserve">    '722800'</t>
  </si>
  <si>
    <t xml:space="preserve">    '722805'</t>
  </si>
  <si>
    <t xml:space="preserve">    '722813'</t>
  </si>
  <si>
    <t xml:space="preserve">    '723700'</t>
  </si>
  <si>
    <t xml:space="preserve">    '723710'</t>
  </si>
  <si>
    <t xml:space="preserve">    '723721'</t>
  </si>
  <si>
    <t xml:space="preserve">    '723723'</t>
  </si>
  <si>
    <t xml:space="preserve">    '723740'</t>
  </si>
  <si>
    <t xml:space="preserve">    '723747'</t>
  </si>
  <si>
    <t xml:space="preserve">    '723750'</t>
  </si>
  <si>
    <t xml:space="preserve">    '723754'</t>
  </si>
  <si>
    <t xml:space="preserve">    '723755'</t>
  </si>
  <si>
    <t xml:space="preserve">    '723781'</t>
  </si>
  <si>
    <t xml:space="preserve">    '723783'</t>
  </si>
  <si>
    <t xml:space="preserve">    '747240'</t>
  </si>
  <si>
    <t xml:space="preserve">    '690020'</t>
  </si>
  <si>
    <t xml:space="preserve">    '690070'</t>
  </si>
  <si>
    <t xml:space="preserve">    '690140'</t>
  </si>
  <si>
    <t xml:space="preserve">    '690150'</t>
  </si>
  <si>
    <t xml:space="preserve">    '691684'</t>
  </si>
  <si>
    <t xml:space="preserve">    '692694'</t>
  </si>
  <si>
    <t xml:space="preserve">    '698114'</t>
  </si>
  <si>
    <t xml:space="preserve">    '720046'</t>
  </si>
  <si>
    <t xml:space="preserve">    '722810'</t>
  </si>
  <si>
    <t xml:space="preserve">    '722860'</t>
  </si>
  <si>
    <t xml:space="preserve">    '722865'</t>
  </si>
  <si>
    <t xml:space="preserve">    '722866'</t>
  </si>
  <si>
    <t xml:space="preserve">    '722868'</t>
  </si>
  <si>
    <t xml:space="preserve">    '722869'</t>
  </si>
  <si>
    <t xml:space="preserve">    '722880'</t>
  </si>
  <si>
    <t xml:space="preserve">    '722885'</t>
  </si>
  <si>
    <t xml:space="preserve">    '722886'</t>
  </si>
  <si>
    <t xml:space="preserve">    '722897'</t>
  </si>
  <si>
    <t xml:space="preserve">    '722899'</t>
  </si>
  <si>
    <t xml:space="preserve">    '722900'</t>
  </si>
  <si>
    <t xml:space="preserve">    '722903'</t>
  </si>
  <si>
    <t xml:space="preserve">    '722904'</t>
  </si>
  <si>
    <t xml:space="preserve">    '722906'</t>
  </si>
  <si>
    <t xml:space="preserve">    '722908'</t>
  </si>
  <si>
    <t xml:space="preserve">    '722909'</t>
  </si>
  <si>
    <t xml:space="preserve">    '722910'</t>
  </si>
  <si>
    <t xml:space="preserve">    '722915'</t>
  </si>
  <si>
    <t xml:space="preserve">    '722920'</t>
  </si>
  <si>
    <t xml:space="preserve">    '722925'</t>
  </si>
  <si>
    <t xml:space="preserve">    '722926'</t>
  </si>
  <si>
    <t xml:space="preserve">    '722927'</t>
  </si>
  <si>
    <t xml:space="preserve">    '722928'</t>
  </si>
  <si>
    <t xml:space="preserve">    '722930'</t>
  </si>
  <si>
    <t xml:space="preserve">    '722931'</t>
  </si>
  <si>
    <t xml:space="preserve">    '722934'</t>
  </si>
  <si>
    <t xml:space="preserve">    '722950'</t>
  </si>
  <si>
    <t xml:space="preserve">    '722956'</t>
  </si>
  <si>
    <t xml:space="preserve">    '722970'</t>
  </si>
  <si>
    <t xml:space="preserve">    '722974'</t>
  </si>
  <si>
    <t xml:space="preserve">    '722975'</t>
  </si>
  <si>
    <t xml:space="preserve">    '722976'</t>
  </si>
  <si>
    <t xml:space="preserve">    '722977'</t>
  </si>
  <si>
    <t xml:space="preserve">    '722978'</t>
  </si>
  <si>
    <t xml:space="preserve">    '723171'</t>
  </si>
  <si>
    <t xml:space="preserve">    '723805'</t>
  </si>
  <si>
    <t xml:space="preserve">    '723810'</t>
  </si>
  <si>
    <t xml:space="preserve">    '723814'</t>
  </si>
  <si>
    <t xml:space="preserve">    '723815'</t>
  </si>
  <si>
    <t xml:space="preserve">    '723816'</t>
  </si>
  <si>
    <t xml:space="preserve">    '723820'</t>
  </si>
  <si>
    <t xml:space="preserve">    '723825'</t>
  </si>
  <si>
    <t xml:space="preserve">    '723830'</t>
  </si>
  <si>
    <t xml:space="preserve">    '723840'</t>
  </si>
  <si>
    <t xml:space="preserve">    '723874'</t>
  </si>
  <si>
    <t xml:space="preserve">    '723890'</t>
  </si>
  <si>
    <t xml:space="preserve">    '723894'</t>
  </si>
  <si>
    <t xml:space="preserve">    '723898'</t>
  </si>
  <si>
    <t xml:space="preserve">    '723900'</t>
  </si>
  <si>
    <t xml:space="preserve">    '723910'</t>
  </si>
  <si>
    <t xml:space="preserve">    '723925'</t>
  </si>
  <si>
    <t xml:space="preserve">    '723926'</t>
  </si>
  <si>
    <t xml:space="preserve">    '723927'</t>
  </si>
  <si>
    <t xml:space="preserve">    '723930'</t>
  </si>
  <si>
    <t xml:space="preserve">    '723935'</t>
  </si>
  <si>
    <t xml:space="preserve">    '723940'</t>
  </si>
  <si>
    <t xml:space="preserve">    '723965'</t>
  </si>
  <si>
    <t xml:space="preserve">    '724800'</t>
  </si>
  <si>
    <t xml:space="preserve">    '724810'</t>
  </si>
  <si>
    <t xml:space="preserve">    '724815'</t>
  </si>
  <si>
    <t xml:space="preserve">    '724828'</t>
  </si>
  <si>
    <t xml:space="preserve">    '724830'</t>
  </si>
  <si>
    <t xml:space="preserve">    '724835'</t>
  </si>
  <si>
    <t xml:space="preserve">    '724836'</t>
  </si>
  <si>
    <t xml:space="preserve">    '724837'</t>
  </si>
  <si>
    <t xml:space="preserve">    '724838'</t>
  </si>
  <si>
    <t xml:space="preserve">    '724839'</t>
  </si>
  <si>
    <t xml:space="preserve">    '724915'</t>
  </si>
  <si>
    <t xml:space="preserve">    '724916'</t>
  </si>
  <si>
    <t xml:space="preserve">    '724917'</t>
  </si>
  <si>
    <t xml:space="preserve">    '724920'</t>
  </si>
  <si>
    <t xml:space="preserve">    '724926'</t>
  </si>
  <si>
    <t xml:space="preserve">    '724927'</t>
  </si>
  <si>
    <t xml:space="preserve">    '724930'</t>
  </si>
  <si>
    <t xml:space="preserve">    '724935'</t>
  </si>
  <si>
    <t xml:space="preserve">    '724936'</t>
  </si>
  <si>
    <t xml:space="preserve">    '724940'</t>
  </si>
  <si>
    <t xml:space="preserve">    '724945'</t>
  </si>
  <si>
    <t xml:space="preserve">    '724955'</t>
  </si>
  <si>
    <t xml:space="preserve">    '724956'</t>
  </si>
  <si>
    <t xml:space="preserve">    '724957'</t>
  </si>
  <si>
    <t xml:space="preserve">    '725845'</t>
  </si>
  <si>
    <t xml:space="preserve">    '725846'</t>
  </si>
  <si>
    <t xml:space="preserve">    '725847'</t>
  </si>
  <si>
    <t xml:space="preserve">    '725905'</t>
  </si>
  <si>
    <t xml:space="preserve">    '725910'</t>
  </si>
  <si>
    <t xml:space="preserve">    '725915'</t>
  </si>
  <si>
    <t xml:space="preserve">    '725920'</t>
  </si>
  <si>
    <t xml:space="preserve">    '725945'</t>
  </si>
  <si>
    <t xml:space="preserve">    '725946'</t>
  </si>
  <si>
    <t xml:space="preserve">    '725955'</t>
  </si>
  <si>
    <t xml:space="preserve">    '725957'</t>
  </si>
  <si>
    <t xml:space="preserve">    '725958'</t>
  </si>
  <si>
    <t xml:space="preserve">    '745046'</t>
  </si>
  <si>
    <t xml:space="preserve">    '745048'</t>
  </si>
  <si>
    <t xml:space="preserve">    '745056'</t>
  </si>
  <si>
    <t xml:space="preserve">    '745058'</t>
  </si>
  <si>
    <t xml:space="preserve">    '745060'</t>
  </si>
  <si>
    <t xml:space="preserve">    '745090'</t>
  </si>
  <si>
    <t xml:space="preserve">    '745160'</t>
  </si>
  <si>
    <t xml:space="preserve">    '746110'</t>
  </si>
  <si>
    <t xml:space="preserve">    '746120'</t>
  </si>
  <si>
    <t xml:space="preserve">    '747020'</t>
  </si>
  <si>
    <t xml:space="preserve">    '747040'</t>
  </si>
  <si>
    <t xml:space="preserve">    '747185'</t>
  </si>
  <si>
    <t xml:space="preserve">    '747186'</t>
  </si>
  <si>
    <t xml:space="preserve">    '747187'</t>
  </si>
  <si>
    <t xml:space="preserve">    '747188'</t>
  </si>
  <si>
    <t xml:space="preserve">    '722101'</t>
  </si>
  <si>
    <t xml:space="preserve">    '722817'</t>
  </si>
  <si>
    <t xml:space="preserve">    '724620'</t>
  </si>
  <si>
    <t xml:space="preserve">    '724625'</t>
  </si>
  <si>
    <t xml:space="preserve">    '724627'</t>
  </si>
  <si>
    <t xml:space="preserve">    '724635'</t>
  </si>
  <si>
    <t xml:space="preserve">    '724636'</t>
  </si>
  <si>
    <t xml:space="preserve">    '724640'</t>
  </si>
  <si>
    <t xml:space="preserve">    '724645'</t>
  </si>
  <si>
    <t xml:space="preserve">    '724646'</t>
  </si>
  <si>
    <t xml:space="preserve">    '724660'</t>
  </si>
  <si>
    <t xml:space="preserve">    '724665'</t>
  </si>
  <si>
    <t xml:space="preserve">    '724666'</t>
  </si>
  <si>
    <t xml:space="preserve">    '724671'</t>
  </si>
  <si>
    <t xml:space="preserve">    '724673'</t>
  </si>
  <si>
    <t xml:space="preserve">    '724674'</t>
  </si>
  <si>
    <t xml:space="preserve">    '724675'</t>
  </si>
  <si>
    <t xml:space="preserve">    '724676'</t>
  </si>
  <si>
    <t xml:space="preserve">    '724680'</t>
  </si>
  <si>
    <t xml:space="preserve">    '724689'</t>
  </si>
  <si>
    <t xml:space="preserve">    '724690'</t>
  </si>
  <si>
    <t xml:space="preserve">    '724695'</t>
  </si>
  <si>
    <t xml:space="preserve">    '724697'</t>
  </si>
  <si>
    <t xml:space="preserve">    '724698'</t>
  </si>
  <si>
    <t xml:space="preserve">    '724699'</t>
  </si>
  <si>
    <t xml:space="preserve">    '724760'</t>
  </si>
  <si>
    <t xml:space="preserve">    '724765'</t>
  </si>
  <si>
    <t xml:space="preserve">    '724767'</t>
  </si>
  <si>
    <t xml:space="preserve">    '724768'</t>
  </si>
  <si>
    <t xml:space="preserve">    '725650'</t>
  </si>
  <si>
    <t xml:space="preserve">    '725715'</t>
  </si>
  <si>
    <t xml:space="preserve">    '725717'</t>
  </si>
  <si>
    <t xml:space="preserve">    '745310'</t>
  </si>
  <si>
    <t xml:space="preserve">    '725027'</t>
  </si>
  <si>
    <t xml:space="preserve">    '725040'</t>
  </si>
  <si>
    <t xml:space="preserve">    '725045'</t>
  </si>
  <si>
    <t xml:space="preserve">    '725046'</t>
  </si>
  <si>
    <t xml:space="preserve">    '725080'</t>
  </si>
  <si>
    <t xml:space="preserve">    '725084'</t>
  </si>
  <si>
    <t xml:space="preserve">    '725086'</t>
  </si>
  <si>
    <t xml:space="preserve">    '725087'</t>
  </si>
  <si>
    <t xml:space="preserve">    '724050'</t>
  </si>
  <si>
    <t xml:space="preserve">    '724088'</t>
  </si>
  <si>
    <t xml:space="preserve">    '724089'</t>
  </si>
  <si>
    <t xml:space="preserve">    '724093'</t>
  </si>
  <si>
    <t xml:space="preserve">    '693254'</t>
  </si>
  <si>
    <t xml:space="preserve">    '720383'</t>
  </si>
  <si>
    <t xml:space="preserve">    '722010'</t>
  </si>
  <si>
    <t xml:space="preserve">    '722014'</t>
  </si>
  <si>
    <t xml:space="preserve">    '722015'</t>
  </si>
  <si>
    <t xml:space="preserve">    '722016'</t>
  </si>
  <si>
    <t xml:space="preserve">    '722017'</t>
  </si>
  <si>
    <t xml:space="preserve">    '722020'</t>
  </si>
  <si>
    <t xml:space="preserve">    '722021'</t>
  </si>
  <si>
    <t xml:space="preserve">    '722024'</t>
  </si>
  <si>
    <t xml:space="preserve">    '722025'</t>
  </si>
  <si>
    <t xml:space="preserve">    '722026'</t>
  </si>
  <si>
    <t xml:space="preserve">    '722029'</t>
  </si>
  <si>
    <t xml:space="preserve">    '722030'</t>
  </si>
  <si>
    <t xml:space="preserve">    '722034'</t>
  </si>
  <si>
    <t xml:space="preserve">    '722037'</t>
  </si>
  <si>
    <t xml:space="preserve">    '722038'</t>
  </si>
  <si>
    <t xml:space="preserve">    '722039'</t>
  </si>
  <si>
    <t xml:space="preserve">    '722040'</t>
  </si>
  <si>
    <t xml:space="preserve">    '722045'</t>
  </si>
  <si>
    <t xml:space="preserve">    '722049'</t>
  </si>
  <si>
    <t xml:space="preserve">    '722050'</t>
  </si>
  <si>
    <t xml:space="preserve">    '722053'</t>
  </si>
  <si>
    <t xml:space="preserve">    '722056'</t>
  </si>
  <si>
    <t xml:space="preserve">    '722057'</t>
  </si>
  <si>
    <t xml:space="preserve">    '722060'</t>
  </si>
  <si>
    <t xml:space="preserve">    '722064'</t>
  </si>
  <si>
    <t xml:space="preserve">    '722065'</t>
  </si>
  <si>
    <t xml:space="preserve">    '722066'</t>
  </si>
  <si>
    <t xml:space="preserve">    '722067'</t>
  </si>
  <si>
    <t xml:space="preserve">    '722068'</t>
  </si>
  <si>
    <t xml:space="preserve">    '722069'</t>
  </si>
  <si>
    <t xml:space="preserve">    '722103'</t>
  </si>
  <si>
    <t xml:space="preserve">    '722104'</t>
  </si>
  <si>
    <t xml:space="preserve">    '722106'</t>
  </si>
  <si>
    <t xml:space="preserve">    '722108'</t>
  </si>
  <si>
    <t xml:space="preserve">    '722110'</t>
  </si>
  <si>
    <t xml:space="preserve">    '722115'</t>
  </si>
  <si>
    <t xml:space="preserve">    '722116'</t>
  </si>
  <si>
    <t xml:space="preserve">    '722120'</t>
  </si>
  <si>
    <t xml:space="preserve">    '722140'</t>
  </si>
  <si>
    <t xml:space="preserve">    '722146'</t>
  </si>
  <si>
    <t xml:space="preserve">    '722200'</t>
  </si>
  <si>
    <t xml:space="preserve">    '722210'</t>
  </si>
  <si>
    <t xml:space="preserve">    '722212'</t>
  </si>
  <si>
    <t xml:space="preserve">    '722213'</t>
  </si>
  <si>
    <t xml:space="preserve">    '722215'</t>
  </si>
  <si>
    <t xml:space="preserve">    '722220'</t>
  </si>
  <si>
    <t xml:space="preserve">    '722221'</t>
  </si>
  <si>
    <t xml:space="preserve">    '722223'</t>
  </si>
  <si>
    <t xml:space="preserve">    '722224'</t>
  </si>
  <si>
    <t xml:space="preserve">    '722225'</t>
  </si>
  <si>
    <t xml:space="preserve">    '722226'</t>
  </si>
  <si>
    <t xml:space="preserve">    '722245'</t>
  </si>
  <si>
    <t xml:space="preserve">    '722246'</t>
  </si>
  <si>
    <t xml:space="preserve">    '747750'</t>
  </si>
  <si>
    <t xml:space="preserve">    '747760'</t>
  </si>
  <si>
    <t xml:space="preserve">    '747770'</t>
  </si>
  <si>
    <t xml:space="preserve">    '747880'</t>
  </si>
  <si>
    <t xml:space="preserve">    '747930'</t>
  </si>
  <si>
    <t xml:space="preserve">    '747940'</t>
  </si>
  <si>
    <t xml:space="preserve">    '747945'</t>
  </si>
  <si>
    <t xml:space="preserve">    '747946'</t>
  </si>
  <si>
    <t xml:space="preserve">    '747950'</t>
  </si>
  <si>
    <t xml:space="preserve">    '747960'</t>
  </si>
  <si>
    <t xml:space="preserve">    '692704'</t>
  </si>
  <si>
    <t xml:space="preserve">    '722070'</t>
  </si>
  <si>
    <t xml:space="preserve">    '722090'</t>
  </si>
  <si>
    <t xml:space="preserve">    '722135'</t>
  </si>
  <si>
    <t xml:space="preserve">    '722136'</t>
  </si>
  <si>
    <t xml:space="preserve">    '722137'</t>
  </si>
  <si>
    <t xml:space="preserve">    '722156'</t>
  </si>
  <si>
    <t xml:space="preserve">    '722160'</t>
  </si>
  <si>
    <t xml:space="preserve">    '722166'</t>
  </si>
  <si>
    <t xml:space="preserve">    '722170'</t>
  </si>
  <si>
    <t xml:space="preserve">    '722175'</t>
  </si>
  <si>
    <t xml:space="preserve">    '722180'</t>
  </si>
  <si>
    <t xml:space="preserve">    '722181'</t>
  </si>
  <si>
    <t xml:space="preserve">    '722185'</t>
  </si>
  <si>
    <t xml:space="preserve">    '722190'</t>
  </si>
  <si>
    <t xml:space="preserve">    '722195'</t>
  </si>
  <si>
    <t xml:space="preserve">    '722196'</t>
  </si>
  <si>
    <t xml:space="preserve">    '722197'</t>
  </si>
  <si>
    <t xml:space="preserve">    '722250'</t>
  </si>
  <si>
    <t xml:space="preserve">    '722255'</t>
  </si>
  <si>
    <t xml:space="preserve">    '722270'</t>
  </si>
  <si>
    <t xml:space="preserve">    '723110'</t>
  </si>
  <si>
    <t xml:space="preserve">    '723200'</t>
  </si>
  <si>
    <t xml:space="preserve">    '747804'</t>
  </si>
  <si>
    <t xml:space="preserve">    '747810'</t>
  </si>
  <si>
    <t xml:space="preserve">    '910660'</t>
  </si>
  <si>
    <t xml:space="preserve">    '911550'</t>
  </si>
  <si>
    <t xml:space="preserve">    '911620'</t>
  </si>
  <si>
    <t xml:space="preserve">    '911650'</t>
  </si>
  <si>
    <t xml:space="preserve">    '911700'</t>
  </si>
  <si>
    <t xml:space="preserve">    '911760'</t>
  </si>
  <si>
    <t xml:space="preserve">    '911780'</t>
  </si>
  <si>
    <t xml:space="preserve">    '911820'</t>
  </si>
  <si>
    <t xml:space="preserve">    '911860'</t>
  </si>
  <si>
    <t xml:space="preserve">    '911890'</t>
  </si>
  <si>
    <t xml:space="preserve">    '911900'</t>
  </si>
  <si>
    <t xml:space="preserve">    '911905'</t>
  </si>
  <si>
    <t xml:space="preserve">    '911975'</t>
  </si>
  <si>
    <t xml:space="preserve">    '911976'</t>
  </si>
  <si>
    <t xml:space="preserve">    '911977'</t>
  </si>
  <si>
    <t xml:space="preserve">    '912850'</t>
  </si>
  <si>
    <t xml:space="preserve">    '725349'</t>
  </si>
  <si>
    <t xml:space="preserve">    '725450'</t>
  </si>
  <si>
    <t xml:space="preserve">    '725455'</t>
  </si>
  <si>
    <t xml:space="preserve">    '725460'</t>
  </si>
  <si>
    <t xml:space="preserve">    '725461'</t>
  </si>
  <si>
    <t xml:space="preserve">    '725462'</t>
  </si>
  <si>
    <t xml:space="preserve">    '725465'</t>
  </si>
  <si>
    <t xml:space="preserve">    '725470'</t>
  </si>
  <si>
    <t xml:space="preserve">    '725472'</t>
  </si>
  <si>
    <t xml:space="preserve">    '725480'</t>
  </si>
  <si>
    <t xml:space="preserve">    '725485'</t>
  </si>
  <si>
    <t xml:space="preserve">    '725499'</t>
  </si>
  <si>
    <t xml:space="preserve">    '725570'</t>
  </si>
  <si>
    <t xml:space="preserve">    '726499'</t>
  </si>
  <si>
    <t xml:space="preserve">    '726500'</t>
  </si>
  <si>
    <t xml:space="preserve">    '720369'</t>
  </si>
  <si>
    <t xml:space="preserve">    '722142'</t>
  </si>
  <si>
    <t xml:space="preserve">    '725780'</t>
  </si>
  <si>
    <t xml:space="preserve">    '725784'</t>
  </si>
  <si>
    <t xml:space="preserve">    '725785'</t>
  </si>
  <si>
    <t xml:space="preserve">    '725864'</t>
  </si>
  <si>
    <t xml:space="preserve">    '725865'</t>
  </si>
  <si>
    <t xml:space="preserve">    '725866'</t>
  </si>
  <si>
    <t xml:space="preserve">    '725867'</t>
  </si>
  <si>
    <t xml:space="preserve">    '726810'</t>
  </si>
  <si>
    <t xml:space="preserve">    '726815'</t>
  </si>
  <si>
    <t xml:space="preserve">    '726816'</t>
  </si>
  <si>
    <t xml:space="preserve">    '726817'</t>
  </si>
  <si>
    <t xml:space="preserve">    '726818'</t>
  </si>
  <si>
    <t xml:space="preserve">    '726824'</t>
  </si>
  <si>
    <t xml:space="preserve">    '727830'</t>
  </si>
  <si>
    <t xml:space="preserve">    '722075'</t>
  </si>
  <si>
    <t xml:space="preserve">    '722076'</t>
  </si>
  <si>
    <t xml:space="preserve">    '724336'</t>
  </si>
  <si>
    <t xml:space="preserve">    '724338'</t>
  </si>
  <si>
    <t xml:space="preserve">    '724390'</t>
  </si>
  <si>
    <t xml:space="preserve">    '724395'</t>
  </si>
  <si>
    <t xml:space="preserve">    '724396'</t>
  </si>
  <si>
    <t xml:space="preserve">    '724397'</t>
  </si>
  <si>
    <t xml:space="preserve">    '724398'</t>
  </si>
  <si>
    <t xml:space="preserve">    '725300'</t>
  </si>
  <si>
    <t xml:space="preserve">    '725305'</t>
  </si>
  <si>
    <t xml:space="preserve">    '725306'</t>
  </si>
  <si>
    <t xml:space="preserve">    '725314'</t>
  </si>
  <si>
    <t xml:space="preserve">    '725315'</t>
  </si>
  <si>
    <t xml:space="preserve">    '725316'</t>
  </si>
  <si>
    <t xml:space="preserve">    '725317'</t>
  </si>
  <si>
    <t xml:space="preserve">    '725320'</t>
  </si>
  <si>
    <t xml:space="preserve">    '725340'</t>
  </si>
  <si>
    <t xml:space="preserve">    '725342'</t>
  </si>
  <si>
    <t xml:space="preserve">    '725346'</t>
  </si>
  <si>
    <t xml:space="preserve">    '725347'</t>
  </si>
  <si>
    <t xml:space="preserve">    '725430'</t>
  </si>
  <si>
    <t xml:space="preserve">    '725440'</t>
  </si>
  <si>
    <t xml:space="preserve">    '744655'</t>
  </si>
  <si>
    <t xml:space="preserve">    '744665'</t>
  </si>
  <si>
    <t xml:space="preserve">    '724320'</t>
  </si>
  <si>
    <t xml:space="preserve">    '724356'</t>
  </si>
  <si>
    <t xml:space="preserve">    '724363'</t>
  </si>
  <si>
    <t xml:space="preserve">    '724370'</t>
  </si>
  <si>
    <t xml:space="preserve">    '724371'</t>
  </si>
  <si>
    <t xml:space="preserve">    '724373'</t>
  </si>
  <si>
    <t xml:space="preserve">    '724375'</t>
  </si>
  <si>
    <t xml:space="preserve">    '724380'</t>
  </si>
  <si>
    <t xml:space="preserve">    '724384'</t>
  </si>
  <si>
    <t xml:space="preserve">    '724386'</t>
  </si>
  <si>
    <t xml:space="preserve">    '724388'</t>
  </si>
  <si>
    <t xml:space="preserve">    '725327'</t>
  </si>
  <si>
    <t xml:space="preserve">    '725330'</t>
  </si>
  <si>
    <t xml:space="preserve">    '725335'</t>
  </si>
  <si>
    <t xml:space="preserve">    '725336'</t>
  </si>
  <si>
    <t xml:space="preserve">    '725350'</t>
  </si>
  <si>
    <t xml:space="preserve">    '725354'</t>
  </si>
  <si>
    <t xml:space="preserve">    '720379'</t>
  </si>
  <si>
    <t xml:space="preserve">    '724210'</t>
  </si>
  <si>
    <t xml:space="preserve">    '724220'</t>
  </si>
  <si>
    <t xml:space="preserve">    '724230'</t>
  </si>
  <si>
    <t xml:space="preserve">    '724233'</t>
  </si>
  <si>
    <t xml:space="preserve">    '724235'</t>
  </si>
  <si>
    <t xml:space="preserve">    '724237'</t>
  </si>
  <si>
    <t xml:space="preserve">    '724240'</t>
  </si>
  <si>
    <t xml:space="preserve">    '724243'</t>
  </si>
  <si>
    <t xml:space="preserve">    '724350'</t>
  </si>
  <si>
    <t xml:space="preserve">    '746710'</t>
  </si>
  <si>
    <t xml:space="preserve">    '746715'</t>
  </si>
  <si>
    <t xml:space="preserve">    '746716'</t>
  </si>
  <si>
    <t xml:space="preserve">    '722310'</t>
  </si>
  <si>
    <t xml:space="preserve">    '722314'</t>
  </si>
  <si>
    <t xml:space="preserve">    '722315'</t>
  </si>
  <si>
    <t xml:space="preserve">    '722317'</t>
  </si>
  <si>
    <t xml:space="preserve">    '722320'</t>
  </si>
  <si>
    <t xml:space="preserve">    '722366'</t>
  </si>
  <si>
    <t xml:space="preserve">    '722390'</t>
  </si>
  <si>
    <t xml:space="preserve">    '722400'</t>
  </si>
  <si>
    <t xml:space="preserve">    '722403'</t>
  </si>
  <si>
    <t xml:space="preserve">    '722405'</t>
  </si>
  <si>
    <t xml:space="preserve">    '722409'</t>
  </si>
  <si>
    <t xml:space="preserve">    '722480'</t>
  </si>
  <si>
    <t xml:space="preserve">    '722484'</t>
  </si>
  <si>
    <t xml:space="preserve">    '722485'</t>
  </si>
  <si>
    <t xml:space="preserve">    '722486'</t>
  </si>
  <si>
    <t xml:space="preserve">    '722487'</t>
  </si>
  <si>
    <t xml:space="preserve">    '722488'</t>
  </si>
  <si>
    <t xml:space="preserve">    '722682'</t>
  </si>
  <si>
    <t xml:space="preserve">    '722820'</t>
  </si>
  <si>
    <t xml:space="preserve">    '722821'</t>
  </si>
  <si>
    <t xml:space="preserve">    '722822'</t>
  </si>
  <si>
    <t xml:space="preserve">    '747540'</t>
  </si>
  <si>
    <t xml:space="preserve">    '725059'</t>
  </si>
  <si>
    <t xml:space="preserve">    '725061'</t>
  </si>
  <si>
    <t xml:space="preserve">    '725063'</t>
  </si>
  <si>
    <t xml:space="preserve">    '725064'</t>
  </si>
  <si>
    <t xml:space="preserve">    '725065'</t>
  </si>
  <si>
    <t xml:space="preserve">    '725066'</t>
  </si>
  <si>
    <t xml:space="preserve">    '725067'</t>
  </si>
  <si>
    <t xml:space="preserve">    '725068'</t>
  </si>
  <si>
    <t xml:space="preserve">    '725069'</t>
  </si>
  <si>
    <t xml:space="preserve">    '725075'</t>
  </si>
  <si>
    <t xml:space="preserve">    '725085'</t>
  </si>
  <si>
    <t xml:space="preserve">    '725088'</t>
  </si>
  <si>
    <t xml:space="preserve">    '725090'</t>
  </si>
  <si>
    <t xml:space="preserve">    '725097'</t>
  </si>
  <si>
    <t xml:space="preserve">    '725098'</t>
  </si>
  <si>
    <t xml:space="preserve">    '725107'</t>
  </si>
  <si>
    <t xml:space="preserve">    '744104'</t>
  </si>
  <si>
    <t xml:space="preserve">    '744900'</t>
  </si>
  <si>
    <t xml:space="preserve">    '744904'</t>
  </si>
  <si>
    <t xml:space="preserve">    '744905'</t>
  </si>
  <si>
    <t xml:space="preserve">    '744907'</t>
  </si>
  <si>
    <t xml:space="preserve">    '744910'</t>
  </si>
  <si>
    <t xml:space="preserve">    '744915'</t>
  </si>
  <si>
    <t xml:space="preserve">    '722158'</t>
  </si>
  <si>
    <t xml:space="preserve">    '722823'</t>
  </si>
  <si>
    <t xml:space="preserve">    '724040'</t>
  </si>
  <si>
    <t xml:space="preserve">    '724043'</t>
  </si>
  <si>
    <t xml:space="preserve">    '724045'</t>
  </si>
  <si>
    <t xml:space="preserve">    '724060'</t>
  </si>
  <si>
    <t xml:space="preserve">    '724065'</t>
  </si>
  <si>
    <t xml:space="preserve">    '724066'</t>
  </si>
  <si>
    <t xml:space="preserve">    '724067'</t>
  </si>
  <si>
    <t xml:space="preserve">    '725514'</t>
  </si>
  <si>
    <t xml:space="preserve">    '745940'</t>
  </si>
  <si>
    <t xml:space="preserve">    '745946'</t>
  </si>
  <si>
    <t xml:space="preserve">    '726060'</t>
  </si>
  <si>
    <t xml:space="preserve">    '726070'</t>
  </si>
  <si>
    <t xml:space="preserve">    '726071'</t>
  </si>
  <si>
    <t xml:space="preserve">    '726077'</t>
  </si>
  <si>
    <t xml:space="preserve">    '726083'</t>
  </si>
  <si>
    <t xml:space="preserve">    '726088'</t>
  </si>
  <si>
    <t xml:space="preserve">    '726183'</t>
  </si>
  <si>
    <t xml:space="preserve">    '726185'</t>
  </si>
  <si>
    <t xml:space="preserve">    '726190'</t>
  </si>
  <si>
    <t xml:space="preserve">    '726196'</t>
  </si>
  <si>
    <t xml:space="preserve">    '727031'</t>
  </si>
  <si>
    <t xml:space="preserve">    '727033'</t>
  </si>
  <si>
    <t xml:space="preserve">    '727119'</t>
  </si>
  <si>
    <t xml:space="preserve">    '727120'</t>
  </si>
  <si>
    <t xml:space="preserve">    '727125'</t>
  </si>
  <si>
    <t xml:space="preserve">    '727135'</t>
  </si>
  <si>
    <t xml:space="preserve">    '743920'</t>
  </si>
  <si>
    <t xml:space="preserve">    '692304'</t>
  </si>
  <si>
    <t xml:space="preserve">    '720198'</t>
  </si>
  <si>
    <t xml:space="preserve">    '725370'</t>
  </si>
  <si>
    <t xml:space="preserve">    '725374'</t>
  </si>
  <si>
    <t xml:space="preserve">    '725375'</t>
  </si>
  <si>
    <t xml:space="preserve">    '725376'</t>
  </si>
  <si>
    <t xml:space="preserve">    '725377'</t>
  </si>
  <si>
    <t xml:space="preserve">    '725386'</t>
  </si>
  <si>
    <t xml:space="preserve">    '725387'</t>
  </si>
  <si>
    <t xml:space="preserve">    '725390'</t>
  </si>
  <si>
    <t xml:space="preserve">    '725394'</t>
  </si>
  <si>
    <t xml:space="preserve">    '725395'</t>
  </si>
  <si>
    <t xml:space="preserve">    '725396'</t>
  </si>
  <si>
    <t xml:space="preserve">    '725404'</t>
  </si>
  <si>
    <t xml:space="preserve">    '725407'</t>
  </si>
  <si>
    <t xml:space="preserve">    '726350'</t>
  </si>
  <si>
    <t xml:space="preserve">    '726355'</t>
  </si>
  <si>
    <t xml:space="preserve">    '726357'</t>
  </si>
  <si>
    <t xml:space="preserve">    '726360'</t>
  </si>
  <si>
    <t xml:space="preserve">    '726370'</t>
  </si>
  <si>
    <t xml:space="preserve">    '726375'</t>
  </si>
  <si>
    <t xml:space="preserve">    '726379'</t>
  </si>
  <si>
    <t xml:space="preserve">    '726380'</t>
  </si>
  <si>
    <t xml:space="preserve">    '726385'</t>
  </si>
  <si>
    <t xml:space="preserve">    '726387'</t>
  </si>
  <si>
    <t xml:space="preserve">    '726390'</t>
  </si>
  <si>
    <t xml:space="preserve">    '726395'</t>
  </si>
  <si>
    <t xml:space="preserve">    '726399'</t>
  </si>
  <si>
    <t xml:space="preserve">    '727340'</t>
  </si>
  <si>
    <t xml:space="preserve">    '727345'</t>
  </si>
  <si>
    <t xml:space="preserve">    '727347'</t>
  </si>
  <si>
    <t xml:space="preserve">    '727430'</t>
  </si>
  <si>
    <t xml:space="preserve">    '727435'</t>
  </si>
  <si>
    <t xml:space="preserve">    '727436'</t>
  </si>
  <si>
    <t xml:space="preserve">    '727437'</t>
  </si>
  <si>
    <t xml:space="preserve">    '727440'</t>
  </si>
  <si>
    <t xml:space="preserve">    '726440'</t>
  </si>
  <si>
    <t xml:space="preserve">    '726550'</t>
  </si>
  <si>
    <t xml:space="preserve">    '726555'</t>
  </si>
  <si>
    <t xml:space="preserve">    '726556'</t>
  </si>
  <si>
    <t xml:space="preserve">    '726557'</t>
  </si>
  <si>
    <t xml:space="preserve">    '726559'</t>
  </si>
  <si>
    <t xml:space="preserve">    '726575'</t>
  </si>
  <si>
    <t xml:space="preserve">    '726579'</t>
  </si>
  <si>
    <t xml:space="preserve">    '726580'</t>
  </si>
  <si>
    <t xml:space="preserve">    '726584'</t>
  </si>
  <si>
    <t xml:space="preserve">    '726585'</t>
  </si>
  <si>
    <t xml:space="preserve">    '726586'</t>
  </si>
  <si>
    <t xml:space="preserve">    '727449'</t>
  </si>
  <si>
    <t xml:space="preserve">    '727450'</t>
  </si>
  <si>
    <t xml:space="preserve">    '727455'</t>
  </si>
  <si>
    <t xml:space="preserve">    '727469'</t>
  </si>
  <si>
    <t xml:space="preserve">    '727470'</t>
  </si>
  <si>
    <t xml:space="preserve">    '727476'</t>
  </si>
  <si>
    <t xml:space="preserve">    '727554'</t>
  </si>
  <si>
    <t xml:space="preserve">    '720306'</t>
  </si>
  <si>
    <t xml:space="preserve">    '723290'</t>
  </si>
  <si>
    <t xml:space="preserve">    '723300'</t>
  </si>
  <si>
    <t xml:space="preserve">    '723484'</t>
  </si>
  <si>
    <t xml:space="preserve">    '723489'</t>
  </si>
  <si>
    <t xml:space="preserve">    '723495'</t>
  </si>
  <si>
    <t xml:space="preserve">    '724340'</t>
  </si>
  <si>
    <t xml:space="preserve">    '724345'</t>
  </si>
  <si>
    <t xml:space="preserve">    '724347'</t>
  </si>
  <si>
    <t xml:space="preserve">    '724400'</t>
  </si>
  <si>
    <t xml:space="preserve">    '724450'</t>
  </si>
  <si>
    <t xml:space="preserve">    '724453'</t>
  </si>
  <si>
    <t xml:space="preserve">    '724455'</t>
  </si>
  <si>
    <t xml:space="preserve">    '724456'</t>
  </si>
  <si>
    <t xml:space="preserve">    '724457'</t>
  </si>
  <si>
    <t xml:space="preserve">    '724458'</t>
  </si>
  <si>
    <t xml:space="preserve">    '724460'</t>
  </si>
  <si>
    <t xml:space="preserve">    '724461'</t>
  </si>
  <si>
    <t xml:space="preserve">    '724463'</t>
  </si>
  <si>
    <t xml:space="preserve">    '724464'</t>
  </si>
  <si>
    <t xml:space="preserve">    '724466'</t>
  </si>
  <si>
    <t xml:space="preserve">    '724467'</t>
  </si>
  <si>
    <t xml:space="preserve">    '724490'</t>
  </si>
  <si>
    <t xml:space="preserve">    '722165'</t>
  </si>
  <si>
    <t xml:space="preserve">    '722340'</t>
  </si>
  <si>
    <t xml:space="preserve">    '722345'</t>
  </si>
  <si>
    <t xml:space="preserve">    '722347'</t>
  </si>
  <si>
    <t xml:space="preserve">    '722350'</t>
  </si>
  <si>
    <t xml:space="preserve">    '722354'</t>
  </si>
  <si>
    <t xml:space="preserve">    '722356'</t>
  </si>
  <si>
    <t xml:space="preserve">    '722358'</t>
  </si>
  <si>
    <t xml:space="preserve">    '722359'</t>
  </si>
  <si>
    <t xml:space="preserve">    '723306'</t>
  </si>
  <si>
    <t xml:space="preserve">    '723320'</t>
  </si>
  <si>
    <t xml:space="preserve">    '746941'</t>
  </si>
  <si>
    <t xml:space="preserve">    '747685'</t>
  </si>
  <si>
    <t xml:space="preserve">    '747686'</t>
  </si>
  <si>
    <t xml:space="preserve">    '747688'</t>
  </si>
  <si>
    <t xml:space="preserve">    '726675'</t>
  </si>
  <si>
    <t xml:space="preserve">    '726770'</t>
  </si>
  <si>
    <t xml:space="preserve">    '726776'</t>
  </si>
  <si>
    <t xml:space="preserve">    '726777'</t>
  </si>
  <si>
    <t xml:space="preserve">    '726785'</t>
  </si>
  <si>
    <t xml:space="preserve">    '726791'</t>
  </si>
  <si>
    <t xml:space="preserve">    '726796'</t>
  </si>
  <si>
    <t xml:space="preserve">    '726797'</t>
  </si>
  <si>
    <t xml:space="preserve">    '727680'</t>
  </si>
  <si>
    <t xml:space="preserve">    '727684'</t>
  </si>
  <si>
    <t xml:space="preserve">    '727686'</t>
  </si>
  <si>
    <t xml:space="preserve">    '727720'</t>
  </si>
  <si>
    <t xml:space="preserve">    '727730'</t>
  </si>
  <si>
    <t xml:space="preserve">    '727750'</t>
  </si>
  <si>
    <t xml:space="preserve">    '727755'</t>
  </si>
  <si>
    <t xml:space="preserve">    '727790'</t>
  </si>
  <si>
    <t xml:space="preserve">    '727796'</t>
  </si>
  <si>
    <t xml:space="preserve">    '742300'</t>
  </si>
  <si>
    <t xml:space="preserve">    '692374'</t>
  </si>
  <si>
    <t xml:space="preserve">    '723011'</t>
  </si>
  <si>
    <t xml:space="preserve">    '723013'</t>
  </si>
  <si>
    <t xml:space="preserve">    '723030'</t>
  </si>
  <si>
    <t xml:space="preserve">    '723034'</t>
  </si>
  <si>
    <t xml:space="preserve">    '723035'</t>
  </si>
  <si>
    <t xml:space="preserve">    '723037'</t>
  </si>
  <si>
    <t xml:space="preserve">    '723040'</t>
  </si>
  <si>
    <t xml:space="preserve">    '723060'</t>
  </si>
  <si>
    <t xml:space="preserve">    '723065'</t>
  </si>
  <si>
    <t xml:space="preserve">    '723066'</t>
  </si>
  <si>
    <t xml:space="preserve">    '723068'</t>
  </si>
  <si>
    <t xml:space="preserve">    '723090'</t>
  </si>
  <si>
    <t xml:space="preserve">    '723095'</t>
  </si>
  <si>
    <t xml:space="preserve">    '723096'</t>
  </si>
  <si>
    <t xml:space="preserve">    '723097'</t>
  </si>
  <si>
    <t xml:space="preserve">    '723108'</t>
  </si>
  <si>
    <t xml:space="preserve">    '723109'</t>
  </si>
  <si>
    <t xml:space="preserve">    '723139'</t>
  </si>
  <si>
    <t xml:space="preserve">    '723140'</t>
  </si>
  <si>
    <t xml:space="preserve">    '723145'</t>
  </si>
  <si>
    <t xml:space="preserve">    '723147'</t>
  </si>
  <si>
    <t xml:space="preserve">    '723150'</t>
  </si>
  <si>
    <t xml:space="preserve">    '723170'</t>
  </si>
  <si>
    <t xml:space="preserve">    '723174'</t>
  </si>
  <si>
    <t xml:space="preserve">    '723193'</t>
  </si>
  <si>
    <t xml:space="preserve">    '723194'</t>
  </si>
  <si>
    <t xml:space="preserve">    '724008'</t>
  </si>
  <si>
    <t xml:space="preserve">    '746930'</t>
  </si>
  <si>
    <t xml:space="preserve">    '746939'</t>
  </si>
  <si>
    <t xml:space="preserve">    '746943'</t>
  </si>
  <si>
    <t xml:space="preserve">    '727530'</t>
  </si>
  <si>
    <t xml:space="preserve">    '727535'</t>
  </si>
  <si>
    <t xml:space="preserve">    '727570'</t>
  </si>
  <si>
    <t xml:space="preserve">    '727572'</t>
  </si>
  <si>
    <t xml:space="preserve">    '727575'</t>
  </si>
  <si>
    <t xml:space="preserve">    '727576'</t>
  </si>
  <si>
    <t xml:space="preserve">    '727640'</t>
  </si>
  <si>
    <t xml:space="preserve">    '727645'</t>
  </si>
  <si>
    <t xml:space="preserve">    '727670'</t>
  </si>
  <si>
    <t xml:space="preserve">    '727675'</t>
  </si>
  <si>
    <t xml:space="preserve">    '727676'</t>
  </si>
  <si>
    <t xml:space="preserve">    '727677'</t>
  </si>
  <si>
    <t xml:space="preserve">    '725500'</t>
  </si>
  <si>
    <t xml:space="preserve">    '725510'</t>
  </si>
  <si>
    <t xml:space="preserve">    '725515'</t>
  </si>
  <si>
    <t xml:space="preserve">    '725520'</t>
  </si>
  <si>
    <t xml:space="preserve">    '725524'</t>
  </si>
  <si>
    <t xml:space="preserve">    '725525'</t>
  </si>
  <si>
    <t xml:space="preserve">    '725526'</t>
  </si>
  <si>
    <t xml:space="preserve">    '725527'</t>
  </si>
  <si>
    <t xml:space="preserve">    '725530'</t>
  </si>
  <si>
    <t xml:space="preserve">    '725533'</t>
  </si>
  <si>
    <t xml:space="preserve">    '725540'</t>
  </si>
  <si>
    <t xml:space="preserve">    '725555'</t>
  </si>
  <si>
    <t xml:space="preserve">    '725556'</t>
  </si>
  <si>
    <t xml:space="preserve">    '725560'</t>
  </si>
  <si>
    <t xml:space="preserve">    '725610'</t>
  </si>
  <si>
    <t xml:space="preserve">    '725620'</t>
  </si>
  <si>
    <t xml:space="preserve">    '725625'</t>
  </si>
  <si>
    <t xml:space="preserve">    '725626'</t>
  </si>
  <si>
    <t xml:space="preserve">    '725630'</t>
  </si>
  <si>
    <t xml:space="preserve">    '725635'</t>
  </si>
  <si>
    <t xml:space="preserve">    '725636'</t>
  </si>
  <si>
    <t xml:space="preserve">    '725660'</t>
  </si>
  <si>
    <t xml:space="preserve">    '726050'</t>
  </si>
  <si>
    <t xml:space="preserve">    '726055'</t>
  </si>
  <si>
    <t xml:space="preserve">    '726056'</t>
  </si>
  <si>
    <t xml:space="preserve">    '726111'</t>
  </si>
  <si>
    <t xml:space="preserve">    '726116'</t>
  </si>
  <si>
    <t xml:space="preserve">    '726160'</t>
  </si>
  <si>
    <t xml:space="preserve">    '726163'</t>
  </si>
  <si>
    <t xml:space="preserve">    '726164'</t>
  </si>
  <si>
    <t xml:space="preserve">    '743945'</t>
  </si>
  <si>
    <t xml:space="preserve">    '743946'</t>
  </si>
  <si>
    <t xml:space="preserve">    '724070'</t>
  </si>
  <si>
    <t xml:space="preserve">    '724074'</t>
  </si>
  <si>
    <t xml:space="preserve">    '724075'</t>
  </si>
  <si>
    <t xml:space="preserve">    '724077'</t>
  </si>
  <si>
    <t xml:space="preserve">    '724090'</t>
  </si>
  <si>
    <t xml:space="preserve">    '724094'</t>
  </si>
  <si>
    <t xml:space="preserve">    '724095'</t>
  </si>
  <si>
    <t xml:space="preserve">    '724096'</t>
  </si>
  <si>
    <t xml:space="preserve">    '724097'</t>
  </si>
  <si>
    <t xml:space="preserve">    '724104'</t>
  </si>
  <si>
    <t xml:space="preserve">    '725020'</t>
  </si>
  <si>
    <t xml:space="preserve">    '725025'</t>
  </si>
  <si>
    <t xml:space="preserve">    '740001'</t>
  </si>
  <si>
    <t xml:space="preserve">    '690974'</t>
  </si>
  <si>
    <t xml:space="preserve">    '722018'</t>
  </si>
  <si>
    <t xml:space="preserve">    '722677'</t>
  </si>
  <si>
    <t xml:space="preserve">    '722678'</t>
  </si>
  <si>
    <t xml:space="preserve">    '722680'</t>
  </si>
  <si>
    <t xml:space="preserve">    '722684'</t>
  </si>
  <si>
    <t xml:space="preserve">    '722685'</t>
  </si>
  <si>
    <t xml:space="preserve">    '722686'</t>
  </si>
  <si>
    <t xml:space="preserve">    '722687'</t>
  </si>
  <si>
    <t xml:space="preserve">    '722688'</t>
  </si>
  <si>
    <t xml:space="preserve">    '722690'</t>
  </si>
  <si>
    <t xml:space="preserve">    '722696'</t>
  </si>
  <si>
    <t xml:space="preserve">    '722710'</t>
  </si>
  <si>
    <t xml:space="preserve">    '722725'</t>
  </si>
  <si>
    <t xml:space="preserve">    '723600'</t>
  </si>
  <si>
    <t xml:space="preserve">    '723625'</t>
  </si>
  <si>
    <t xml:space="preserve">    '723627'</t>
  </si>
  <si>
    <t xml:space="preserve">    '723650'</t>
  </si>
  <si>
    <t xml:space="preserve">    '723656'</t>
  </si>
  <si>
    <t xml:space="preserve">    '723658'</t>
  </si>
  <si>
    <t xml:space="preserve">    '723671'</t>
  </si>
  <si>
    <t xml:space="preserve">    '723676'</t>
  </si>
  <si>
    <t xml:space="preserve">    '723677'</t>
  </si>
  <si>
    <t xml:space="preserve">    '746375'</t>
  </si>
  <si>
    <t xml:space="preserve">    '746380'</t>
  </si>
  <si>
    <t xml:space="preserve">    '747320'</t>
  </si>
  <si>
    <t xml:space="preserve">    '747330'</t>
  </si>
  <si>
    <t xml:space="preserve">    '747340'</t>
  </si>
  <si>
    <t xml:space="preserve">    '690170'</t>
  </si>
  <si>
    <t xml:space="preserve">    '722096'</t>
  </si>
  <si>
    <t xml:space="preserve">    '722825'</t>
  </si>
  <si>
    <t xml:space="preserve">    '723850'</t>
  </si>
  <si>
    <t xml:space="preserve">    '723860'</t>
  </si>
  <si>
    <t xml:space="preserve">    '723865'</t>
  </si>
  <si>
    <t xml:space="preserve">    '723870'</t>
  </si>
  <si>
    <t xml:space="preserve">    '724844'</t>
  </si>
  <si>
    <t xml:space="preserve">    '724846'</t>
  </si>
  <si>
    <t xml:space="preserve">    '724855'</t>
  </si>
  <si>
    <t xml:space="preserve">    '724860'</t>
  </si>
  <si>
    <t xml:space="preserve">    '724870'</t>
  </si>
  <si>
    <t xml:space="preserve">    '724880'</t>
  </si>
  <si>
    <t xml:space="preserve">    '724885'</t>
  </si>
  <si>
    <t xml:space="preserve">    '725805'</t>
  </si>
  <si>
    <t xml:space="preserve">    '725824'</t>
  </si>
  <si>
    <t xml:space="preserve">    '725825'</t>
  </si>
  <si>
    <t xml:space="preserve">    '725830'</t>
  </si>
  <si>
    <t xml:space="preserve">    '725835'</t>
  </si>
  <si>
    <t xml:space="preserve">    '746140'</t>
  </si>
  <si>
    <t xml:space="preserve">    '746141'</t>
  </si>
  <si>
    <t xml:space="preserve">    '724988'</t>
  </si>
  <si>
    <t xml:space="preserve">    '725014'</t>
  </si>
  <si>
    <t xml:space="preserve">    '725015'</t>
  </si>
  <si>
    <t xml:space="preserve">    '725016'</t>
  </si>
  <si>
    <t xml:space="preserve">    '725030'</t>
  </si>
  <si>
    <t xml:space="preserve">    '725033'</t>
  </si>
  <si>
    <t xml:space="preserve">    '725035'</t>
  </si>
  <si>
    <t xml:space="preserve">    '725036'</t>
  </si>
  <si>
    <t xml:space="preserve">    '725037'</t>
  </si>
  <si>
    <t xml:space="preserve">    '725038'</t>
  </si>
  <si>
    <t xml:space="preserve">    '725145'</t>
  </si>
  <si>
    <t xml:space="preserve">    '725146'</t>
  </si>
  <si>
    <t xml:space="preserve">    '725150'</t>
  </si>
  <si>
    <t xml:space="preserve">    '725155'</t>
  </si>
  <si>
    <t xml:space="preserve">    '725156'</t>
  </si>
  <si>
    <t xml:space="preserve">    '725157'</t>
  </si>
  <si>
    <t xml:space="preserve">    '725180'</t>
  </si>
  <si>
    <t xml:space="preserve">    '725185'</t>
  </si>
  <si>
    <t xml:space="preserve">    '725187'</t>
  </si>
  <si>
    <t xml:space="preserve">    '725190'</t>
  </si>
  <si>
    <t xml:space="preserve">    '725194'</t>
  </si>
  <si>
    <t xml:space="preserve">    '725196'</t>
  </si>
  <si>
    <t xml:space="preserve">    '725197'</t>
  </si>
  <si>
    <t xml:space="preserve">    '725235'</t>
  </si>
  <si>
    <t xml:space="preserve">    '725280'</t>
  </si>
  <si>
    <t xml:space="preserve">    '725287'</t>
  </si>
  <si>
    <t xml:space="preserve">    '725290'</t>
  </si>
  <si>
    <t xml:space="preserve">    '726221'</t>
  </si>
  <si>
    <t xml:space="preserve">    '726223'</t>
  </si>
  <si>
    <t xml:space="preserve">    '726225'</t>
  </si>
  <si>
    <t xml:space="preserve">    '726227'</t>
  </si>
  <si>
    <t xml:space="preserve">    '726228'</t>
  </si>
  <si>
    <t xml:space="preserve">    '743700'</t>
  </si>
  <si>
    <t xml:space="preserve">    '744860'</t>
  </si>
  <si>
    <t xml:space="preserve">    '744864'</t>
  </si>
  <si>
    <t xml:space="preserve">    '744865'</t>
  </si>
  <si>
    <t xml:space="preserve">    '744989'</t>
  </si>
  <si>
    <t xml:space="preserve">    '724276'</t>
  </si>
  <si>
    <t xml:space="preserve">    '724280'</t>
  </si>
  <si>
    <t xml:space="preserve">    '724285'</t>
  </si>
  <si>
    <t xml:space="preserve">    '724286'</t>
  </si>
  <si>
    <t xml:space="preserve">    '724287'</t>
  </si>
  <si>
    <t xml:space="preserve">    '724288'</t>
  </si>
  <si>
    <t xml:space="preserve">    '724290'</t>
  </si>
  <si>
    <t xml:space="preserve">    '724294'</t>
  </si>
  <si>
    <t xml:space="preserve">    '724295'</t>
  </si>
  <si>
    <t xml:space="preserve">    '724296'</t>
  </si>
  <si>
    <t xml:space="preserve">    '724297'</t>
  </si>
  <si>
    <t xml:space="preserve">    '724298'</t>
  </si>
  <si>
    <t xml:space="preserve">    '724303'</t>
  </si>
  <si>
    <t xml:space="preserve">    '725208'</t>
  </si>
  <si>
    <t xml:space="preserve">    '725210'</t>
  </si>
  <si>
    <t xml:space="preserve">    '725214'</t>
  </si>
  <si>
    <t xml:space="preserve">    '725216'</t>
  </si>
  <si>
    <t xml:space="preserve">    '725217'</t>
  </si>
  <si>
    <t xml:space="preserve">    '725224'</t>
  </si>
  <si>
    <t xml:space="preserve">    '725229'</t>
  </si>
  <si>
    <t xml:space="preserve">    '725240'</t>
  </si>
  <si>
    <t xml:space="preserve">    '725244'</t>
  </si>
  <si>
    <t xml:space="preserve">    '725245'</t>
  </si>
  <si>
    <t xml:space="preserve">    '725246'</t>
  </si>
  <si>
    <t xml:space="preserve">    '725247'</t>
  </si>
  <si>
    <t xml:space="preserve">    '725250'</t>
  </si>
  <si>
    <t xml:space="preserve">    '725254'</t>
  </si>
  <si>
    <t xml:space="preserve">    '725256'</t>
  </si>
  <si>
    <t xml:space="preserve">    '725360'</t>
  </si>
  <si>
    <t xml:space="preserve">    '725366'</t>
  </si>
  <si>
    <t xml:space="preserve">    '745700'</t>
  </si>
  <si>
    <t xml:space="preserve">    '722051'</t>
  </si>
  <si>
    <t xml:space="preserve">    '722095'</t>
  </si>
  <si>
    <t xml:space="preserve">    '723520'</t>
  </si>
  <si>
    <t xml:space="preserve">    '723525'</t>
  </si>
  <si>
    <t xml:space="preserve">    '723526'</t>
  </si>
  <si>
    <t xml:space="preserve">    '723527'</t>
  </si>
  <si>
    <t xml:space="preserve">    '723528'</t>
  </si>
  <si>
    <t xml:space="preserve">    '723530'</t>
  </si>
  <si>
    <t xml:space="preserve">    '723535'</t>
  </si>
  <si>
    <t xml:space="preserve">    '723537'</t>
  </si>
  <si>
    <t xml:space="preserve">    '723540'</t>
  </si>
  <si>
    <t xml:space="preserve">    '723544'</t>
  </si>
  <si>
    <t xml:space="preserve">    '723545'</t>
  </si>
  <si>
    <t xml:space="preserve">    '723546'</t>
  </si>
  <si>
    <t xml:space="preserve">    '723550'</t>
  </si>
  <si>
    <t xml:space="preserve">    '723555'</t>
  </si>
  <si>
    <t xml:space="preserve">    '723556'</t>
  </si>
  <si>
    <t xml:space="preserve">    '723560'</t>
  </si>
  <si>
    <t xml:space="preserve">    '723564'</t>
  </si>
  <si>
    <t xml:space="preserve">    '723565'</t>
  </si>
  <si>
    <t xml:space="preserve">    '723566'</t>
  </si>
  <si>
    <t xml:space="preserve">    '723575'</t>
  </si>
  <si>
    <t xml:space="preserve">    '746410'</t>
  </si>
  <si>
    <t xml:space="preserve">    '720365'</t>
  </si>
  <si>
    <t xml:space="preserve">    '725895'</t>
  </si>
  <si>
    <t xml:space="preserve">    '725970'</t>
  </si>
  <si>
    <t xml:space="preserve">    '725975'</t>
  </si>
  <si>
    <t xml:space="preserve">    '726830'</t>
  </si>
  <si>
    <t xml:space="preserve">    '726835'</t>
  </si>
  <si>
    <t xml:space="preserve">    '726836'</t>
  </si>
  <si>
    <t xml:space="preserve">    '726837'</t>
  </si>
  <si>
    <t xml:space="preserve">    '726874'</t>
  </si>
  <si>
    <t xml:space="preserve">    '726875'</t>
  </si>
  <si>
    <t xml:space="preserve">    '726880'</t>
  </si>
  <si>
    <t xml:space="preserve">    '726881'</t>
  </si>
  <si>
    <t xml:space="preserve">    '726883'</t>
  </si>
  <si>
    <t xml:space="preserve">    '726885'</t>
  </si>
  <si>
    <t xml:space="preserve">    '726886'</t>
  </si>
  <si>
    <t xml:space="preserve">    '726904'</t>
  </si>
  <si>
    <t xml:space="preserve">    '726917'</t>
  </si>
  <si>
    <t xml:space="preserve">    '726930'</t>
  </si>
  <si>
    <t xml:space="preserve">    '726940'</t>
  </si>
  <si>
    <t xml:space="preserve">    '726958'</t>
  </si>
  <si>
    <t xml:space="preserve">    '726959'</t>
  </si>
  <si>
    <t xml:space="preserve">    '726980'</t>
  </si>
  <si>
    <t xml:space="preserve">    '726985'</t>
  </si>
  <si>
    <t xml:space="preserve">    '726986'</t>
  </si>
  <si>
    <t xml:space="preserve">    '726988'</t>
  </si>
  <si>
    <t xml:space="preserve">    '727910'</t>
  </si>
  <si>
    <t xml:space="preserve">    '722826'</t>
  </si>
  <si>
    <t xml:space="preserve">    '724080'</t>
  </si>
  <si>
    <t xml:space="preserve">    '724085'</t>
  </si>
  <si>
    <t xml:space="preserve">    '724086'</t>
  </si>
  <si>
    <t xml:space="preserve">    '725101'</t>
  </si>
  <si>
    <t xml:space="preserve">    '725103'</t>
  </si>
  <si>
    <t xml:space="preserve">    '725104'</t>
  </si>
  <si>
    <t xml:space="preserve">    '725105'</t>
  </si>
  <si>
    <t xml:space="preserve">    '725109'</t>
  </si>
  <si>
    <t xml:space="preserve">    '725110'</t>
  </si>
  <si>
    <t xml:space="preserve">    '725111'</t>
  </si>
  <si>
    <t xml:space="preserve">    '725113'</t>
  </si>
  <si>
    <t xml:space="preserve">    '725114'</t>
  </si>
  <si>
    <t xml:space="preserve">    '725115'</t>
  </si>
  <si>
    <t xml:space="preserve">    '725118'</t>
  </si>
  <si>
    <t xml:space="preserve">    '725119'</t>
  </si>
  <si>
    <t xml:space="preserve">    '725120'</t>
  </si>
  <si>
    <t xml:space="preserve">    '725125'</t>
  </si>
  <si>
    <t xml:space="preserve">    '725126'</t>
  </si>
  <si>
    <t xml:space="preserve">    '725127'</t>
  </si>
  <si>
    <t xml:space="preserve">    '725130'</t>
  </si>
  <si>
    <t xml:space="preserve">    '725140'</t>
  </si>
  <si>
    <t xml:space="preserve">    '725144'</t>
  </si>
  <si>
    <t xml:space="preserve">    '725170'</t>
  </si>
  <si>
    <t xml:space="preserve">    '725200'</t>
  </si>
  <si>
    <t xml:space="preserve">    '725204'</t>
  </si>
  <si>
    <t xml:space="preserve">    '725205'</t>
  </si>
  <si>
    <t xml:space="preserve">    '725207'</t>
  </si>
  <si>
    <t xml:space="preserve">    '725260'</t>
  </si>
  <si>
    <t xml:space="preserve">    '725266'</t>
  </si>
  <si>
    <t xml:space="preserve">    '725434'</t>
  </si>
  <si>
    <t xml:space="preserve">    '722151'</t>
  </si>
  <si>
    <t xml:space="preserve">    '725070'</t>
  </si>
  <si>
    <t xml:space="preserve">    '725074'</t>
  </si>
  <si>
    <t xml:space="preserve">    '725079'</t>
  </si>
  <si>
    <t xml:space="preserve">    '722080'</t>
  </si>
  <si>
    <t xml:space="preserve">    '722085'</t>
  </si>
  <si>
    <t xml:space="preserve">    '722086'</t>
  </si>
  <si>
    <t xml:space="preserve">    '723100'</t>
  </si>
  <si>
    <t xml:space="preserve">    '723104'</t>
  </si>
  <si>
    <t xml:space="preserve">    '723105'</t>
  </si>
  <si>
    <t xml:space="preserve">    '723106'</t>
  </si>
  <si>
    <t xml:space="preserve">    '723115'</t>
  </si>
  <si>
    <t xml:space="preserve">    '723117'</t>
  </si>
  <si>
    <t xml:space="preserve">    '723118'</t>
  </si>
  <si>
    <t xml:space="preserve">    '723119'</t>
  </si>
  <si>
    <t xml:space="preserve">    '723120'</t>
  </si>
  <si>
    <t xml:space="preserve">    '723124'</t>
  </si>
  <si>
    <t xml:space="preserve">    '723125'</t>
  </si>
  <si>
    <t xml:space="preserve">    '747900'</t>
  </si>
  <si>
    <t xml:space="preserve">    '747910'</t>
  </si>
  <si>
    <t xml:space="preserve">    '747915'</t>
  </si>
  <si>
    <t xml:space="preserve">    '726510'</t>
  </si>
  <si>
    <t xml:space="preserve">    '726514'</t>
  </si>
  <si>
    <t xml:space="preserve">    '726515'</t>
  </si>
  <si>
    <t xml:space="preserve">    '726516'</t>
  </si>
  <si>
    <t xml:space="preserve">    '726517'</t>
  </si>
  <si>
    <t xml:space="preserve">    '726518'</t>
  </si>
  <si>
    <t xml:space="preserve">    '726519'</t>
  </si>
  <si>
    <t xml:space="preserve">    '726525'</t>
  </si>
  <si>
    <t xml:space="preserve">    '726530'</t>
  </si>
  <si>
    <t xml:space="preserve">    '726539'</t>
  </si>
  <si>
    <t xml:space="preserve">    '726540'</t>
  </si>
  <si>
    <t xml:space="preserve">    '726545'</t>
  </si>
  <si>
    <t xml:space="preserve">    '726546'</t>
  </si>
  <si>
    <t xml:space="preserve">    '726560'</t>
  </si>
  <si>
    <t xml:space="preserve">    '726590'</t>
  </si>
  <si>
    <t xml:space="preserve">    '726606'</t>
  </si>
  <si>
    <t xml:space="preserve">    '726620'</t>
  </si>
  <si>
    <t xml:space="preserve">    '726625'</t>
  </si>
  <si>
    <t xml:space="preserve">    '726627'</t>
  </si>
  <si>
    <t xml:space="preserve">    '726685'</t>
  </si>
  <si>
    <t xml:space="preserve">    '726686'</t>
  </si>
  <si>
    <t xml:space="preserve">    '726695'</t>
  </si>
  <si>
    <t xml:space="preserve">    '722072'</t>
  </si>
  <si>
    <t xml:space="preserve">    '723181'</t>
  </si>
  <si>
    <t xml:space="preserve">    '723183'</t>
  </si>
  <si>
    <t xml:space="preserve">    '723240'</t>
  </si>
  <si>
    <t xml:space="preserve">    '723246'</t>
  </si>
  <si>
    <t xml:space="preserve">    '723260'</t>
  </si>
  <si>
    <t xml:space="preserve">    '723265'</t>
  </si>
  <si>
    <t xml:space="preserve">    '723270'</t>
  </si>
  <si>
    <t xml:space="preserve">    '723273'</t>
  </si>
  <si>
    <t xml:space="preserve">    '723340'</t>
  </si>
  <si>
    <t xml:space="preserve">    '723345'</t>
  </si>
  <si>
    <t xml:space="preserve">    '723346'</t>
  </si>
  <si>
    <t xml:space="preserve">    '723347'</t>
  </si>
  <si>
    <t xml:space="preserve">    '690190'</t>
  </si>
  <si>
    <t xml:space="preserve">    '722410'</t>
  </si>
  <si>
    <t xml:space="preserve">    '722416'</t>
  </si>
  <si>
    <t xml:space="preserve">    '722420'</t>
  </si>
  <si>
    <t xml:space="preserve">    '722422'</t>
  </si>
  <si>
    <t xml:space="preserve">    '722423'</t>
  </si>
  <si>
    <t xml:space="preserve">    '722427'</t>
  </si>
  <si>
    <t xml:space="preserve">    '722429'</t>
  </si>
  <si>
    <t xml:space="preserve">    '722430'</t>
  </si>
  <si>
    <t xml:space="preserve">    '722435'</t>
  </si>
  <si>
    <t xml:space="preserve">    '722436'</t>
  </si>
  <si>
    <t xml:space="preserve">    '722444'</t>
  </si>
  <si>
    <t xml:space="preserve">    '722445'</t>
  </si>
  <si>
    <t xml:space="preserve">    '722446'</t>
  </si>
  <si>
    <t xml:space="preserve">    '722447'</t>
  </si>
  <si>
    <t xml:space="preserve">    '722448'</t>
  </si>
  <si>
    <t xml:space="preserve">    '722469'</t>
  </si>
  <si>
    <t xml:space="preserve">    '722470'</t>
  </si>
  <si>
    <t xml:space="preserve">    '722479'</t>
  </si>
  <si>
    <t xml:space="preserve">    '722489'</t>
  </si>
  <si>
    <t xml:space="preserve">    '722500'</t>
  </si>
  <si>
    <t xml:space="preserve">    '722505'</t>
  </si>
  <si>
    <t xml:space="preserve">    '722506'</t>
  </si>
  <si>
    <t xml:space="preserve">    '722508'</t>
  </si>
  <si>
    <t xml:space="preserve">    '722510'</t>
  </si>
  <si>
    <t xml:space="preserve">    '722516'</t>
  </si>
  <si>
    <t xml:space="preserve">    '722517'</t>
  </si>
  <si>
    <t xml:space="preserve">    '722518'</t>
  </si>
  <si>
    <t xml:space="preserve">    '722520'</t>
  </si>
  <si>
    <t xml:space="preserve">    '722523'</t>
  </si>
  <si>
    <t xml:space="preserve">    '722524'</t>
  </si>
  <si>
    <t xml:space="preserve">    '722526'</t>
  </si>
  <si>
    <t xml:space="preserve">    '722527'</t>
  </si>
  <si>
    <t xml:space="preserve">    '722530'</t>
  </si>
  <si>
    <t xml:space="preserve">    '722533'</t>
  </si>
  <si>
    <t xml:space="preserve">    '722535'</t>
  </si>
  <si>
    <t xml:space="preserve">    '722536'</t>
  </si>
  <si>
    <t xml:space="preserve">    '722540'</t>
  </si>
  <si>
    <t xml:space="preserve">    '722541'</t>
  </si>
  <si>
    <t xml:space="preserve">    '722542'</t>
  </si>
  <si>
    <t xml:space="preserve">    '722543'</t>
  </si>
  <si>
    <t xml:space="preserve">    '722544'</t>
  </si>
  <si>
    <t xml:space="preserve">    '722545'</t>
  </si>
  <si>
    <t xml:space="preserve">    '722550'</t>
  </si>
  <si>
    <t xml:space="preserve">    '722556'</t>
  </si>
  <si>
    <t xml:space="preserve">    '722560'</t>
  </si>
  <si>
    <t xml:space="preserve">    '722570'</t>
  </si>
  <si>
    <t xml:space="preserve">    '722572'</t>
  </si>
  <si>
    <t xml:space="preserve">    '722576'</t>
  </si>
  <si>
    <t xml:space="preserve">    '722580'</t>
  </si>
  <si>
    <t xml:space="preserve">    '722581'</t>
  </si>
  <si>
    <t xml:space="preserve">    '722583'</t>
  </si>
  <si>
    <t xml:space="preserve">    '722585'</t>
  </si>
  <si>
    <t xml:space="preserve">    '722589'</t>
  </si>
  <si>
    <t xml:space="preserve">    '722590'</t>
  </si>
  <si>
    <t xml:space="preserve">    '722594'</t>
  </si>
  <si>
    <t xml:space="preserve">    '722595'</t>
  </si>
  <si>
    <t xml:space="preserve">    '722596'</t>
  </si>
  <si>
    <t xml:space="preserve">    '722597'</t>
  </si>
  <si>
    <t xml:space="preserve">    '722599'</t>
  </si>
  <si>
    <t xml:space="preserve">    '722600'</t>
  </si>
  <si>
    <t xml:space="preserve">    '722610'</t>
  </si>
  <si>
    <t xml:space="preserve">    '722615'</t>
  </si>
  <si>
    <t xml:space="preserve">    '722616'</t>
  </si>
  <si>
    <t xml:space="preserve">    '722618'</t>
  </si>
  <si>
    <t xml:space="preserve">    '722620'</t>
  </si>
  <si>
    <t xml:space="preserve">    '722630'</t>
  </si>
  <si>
    <t xml:space="preserve">    '722636'</t>
  </si>
  <si>
    <t xml:space="preserve">    '722648'</t>
  </si>
  <si>
    <t xml:space="preserve">    '722650'</t>
  </si>
  <si>
    <t xml:space="preserve">    '722655'</t>
  </si>
  <si>
    <t xml:space="preserve">    '722656'</t>
  </si>
  <si>
    <t xml:space="preserve">    '722660'</t>
  </si>
  <si>
    <t xml:space="preserve">    '722665'</t>
  </si>
  <si>
    <t xml:space="preserve">    '722666'</t>
  </si>
  <si>
    <t xml:space="preserve">    '722670'</t>
  </si>
  <si>
    <t xml:space="preserve">    '722675'</t>
  </si>
  <si>
    <t xml:space="preserve">    '722700'</t>
  </si>
  <si>
    <t xml:space="preserve">    '723510'</t>
  </si>
  <si>
    <t xml:space="preserve">    '723513'</t>
  </si>
  <si>
    <t xml:space="preserve">    '723601'</t>
  </si>
  <si>
    <t xml:space="preserve">    '723604'</t>
  </si>
  <si>
    <t xml:space="preserve">    '723628'</t>
  </si>
  <si>
    <t xml:space="preserve">    '723630'</t>
  </si>
  <si>
    <t xml:space="preserve">    '723635'</t>
  </si>
  <si>
    <t xml:space="preserve">    '747400'</t>
  </si>
  <si>
    <t xml:space="preserve">    '691334'</t>
  </si>
  <si>
    <t xml:space="preserve">    '694300'</t>
  </si>
  <si>
    <t xml:space="preserve">    '724700'</t>
  </si>
  <si>
    <t xml:space="preserve">    '724725'</t>
  </si>
  <si>
    <t xml:space="preserve">    '724750'</t>
  </si>
  <si>
    <t xml:space="preserve">    '724755'</t>
  </si>
  <si>
    <t xml:space="preserve">    '724756'</t>
  </si>
  <si>
    <t xml:space="preserve">    '724757'</t>
  </si>
  <si>
    <t xml:space="preserve">    '724776'</t>
  </si>
  <si>
    <t xml:space="preserve">    '724796'</t>
  </si>
  <si>
    <t xml:space="preserve">    '724797'</t>
  </si>
  <si>
    <t xml:space="preserve">    '725705'</t>
  </si>
  <si>
    <t xml:space="preserve">    '725720'</t>
  </si>
  <si>
    <t xml:space="preserve">    '725750'</t>
  </si>
  <si>
    <t xml:space="preserve">    '725755'</t>
  </si>
  <si>
    <t xml:space="preserve">    '725810'</t>
  </si>
  <si>
    <t xml:space="preserve">    '725814'</t>
  </si>
  <si>
    <t xml:space="preserve">    '740030'</t>
  </si>
  <si>
    <t xml:space="preserve">    '745200'</t>
  </si>
  <si>
    <t xml:space="preserve">    '720264'</t>
  </si>
  <si>
    <t xml:space="preserve">    '722167'</t>
  </si>
  <si>
    <t xml:space="preserve">    '723075'</t>
  </si>
  <si>
    <t xml:space="preserve">    '723080'</t>
  </si>
  <si>
    <t xml:space="preserve">    '723084'</t>
  </si>
  <si>
    <t xml:space="preserve">    '723085'</t>
  </si>
  <si>
    <t xml:space="preserve">    '723086'</t>
  </si>
  <si>
    <t xml:space="preserve">    '723087'</t>
  </si>
  <si>
    <t xml:space="preserve">    '724010'</t>
  </si>
  <si>
    <t xml:space="preserve">    '724016'</t>
  </si>
  <si>
    <t xml:space="preserve">    '724019'</t>
  </si>
  <si>
    <t xml:space="preserve">    '724020'</t>
  </si>
  <si>
    <t xml:space="preserve">    '724024'</t>
  </si>
  <si>
    <t xml:space="preserve">    '724030'</t>
  </si>
  <si>
    <t xml:space="preserve">    '724035'</t>
  </si>
  <si>
    <t xml:space="preserve">    '724037'</t>
  </si>
  <si>
    <t xml:space="preserve">    '724100'</t>
  </si>
  <si>
    <t xml:space="preserve">    '724106'</t>
  </si>
  <si>
    <t xml:space="preserve">    '724110'</t>
  </si>
  <si>
    <t xml:space="preserve">    '745980'</t>
  </si>
  <si>
    <t xml:space="preserve">    '726114'</t>
  </si>
  <si>
    <t xml:space="preserve">    '726115'</t>
  </si>
  <si>
    <t xml:space="preserve">    '726145'</t>
  </si>
  <si>
    <t xml:space="preserve">    '726166'</t>
  </si>
  <si>
    <t xml:space="preserve">    '726170'</t>
  </si>
  <si>
    <t xml:space="preserve">    '690230'</t>
  </si>
  <si>
    <t xml:space="preserve">    '727810'</t>
  </si>
  <si>
    <t xml:space="preserve">    '727815'</t>
  </si>
  <si>
    <t xml:space="preserve">    '727825'</t>
  </si>
  <si>
    <t xml:space="preserve">    '727826'</t>
  </si>
  <si>
    <t xml:space="preserve">    '727827'</t>
  </si>
  <si>
    <t xml:space="preserve">    '727840'</t>
  </si>
  <si>
    <t xml:space="preserve">    '727845'</t>
  </si>
  <si>
    <t xml:space="preserve">    '727846'</t>
  </si>
  <si>
    <t xml:space="preserve">    '727850'</t>
  </si>
  <si>
    <t xml:space="preserve">    '727854'</t>
  </si>
  <si>
    <t xml:space="preserve">    '727855'</t>
  </si>
  <si>
    <t xml:space="preserve">    '727856'</t>
  </si>
  <si>
    <t xml:space="preserve">    '727857'</t>
  </si>
  <si>
    <t xml:space="preserve">    '727870'</t>
  </si>
  <si>
    <t xml:space="preserve">    '727883'</t>
  </si>
  <si>
    <t xml:space="preserve">    '727885'</t>
  </si>
  <si>
    <t xml:space="preserve">    '727890'</t>
  </si>
  <si>
    <t xml:space="preserve">    '727918'</t>
  </si>
  <si>
    <t xml:space="preserve">    '727920'</t>
  </si>
  <si>
    <t xml:space="preserve">    '727923'</t>
  </si>
  <si>
    <t xml:space="preserve">    '727925'</t>
  </si>
  <si>
    <t xml:space="preserve">    '727927'</t>
  </si>
  <si>
    <t xml:space="preserve">    '727930'</t>
  </si>
  <si>
    <t xml:space="preserve">    '727934'</t>
  </si>
  <si>
    <t xml:space="preserve">    '727935'</t>
  </si>
  <si>
    <t xml:space="preserve">    '727937'</t>
  </si>
  <si>
    <t xml:space="preserve">    '727938'</t>
  </si>
  <si>
    <t xml:space="preserve">    '727964'</t>
  </si>
  <si>
    <t xml:space="preserve">    '727970'</t>
  </si>
  <si>
    <t xml:space="preserve">    '727975'</t>
  </si>
  <si>
    <t xml:space="preserve">    '727976'</t>
  </si>
  <si>
    <t xml:space="preserve">    '727985'</t>
  </si>
  <si>
    <t xml:space="preserve">    '742060'</t>
  </si>
  <si>
    <t xml:space="preserve">    '742070'</t>
  </si>
  <si>
    <t xml:space="preserve">    '742071'</t>
  </si>
  <si>
    <t xml:space="preserve">    '690090'</t>
  </si>
  <si>
    <t xml:space="preserve">    '726226'</t>
  </si>
  <si>
    <t xml:space="preserve">    '726400'</t>
  </si>
  <si>
    <t xml:space="preserve">    '726404'</t>
  </si>
  <si>
    <t xml:space="preserve">    '726410'</t>
  </si>
  <si>
    <t xml:space="preserve">    '726416'</t>
  </si>
  <si>
    <t xml:space="preserve">    '726419'</t>
  </si>
  <si>
    <t xml:space="preserve">    '726424'</t>
  </si>
  <si>
    <t xml:space="preserve">    '726425'</t>
  </si>
  <si>
    <t xml:space="preserve">    '726430'</t>
  </si>
  <si>
    <t xml:space="preserve">    '726435'</t>
  </si>
  <si>
    <t xml:space="preserve">    '726436'</t>
  </si>
  <si>
    <t xml:space="preserve">    '726438'</t>
  </si>
  <si>
    <t xml:space="preserve">    '726450'</t>
  </si>
  <si>
    <t xml:space="preserve">    '726452'</t>
  </si>
  <si>
    <t xml:space="preserve">    '726456'</t>
  </si>
  <si>
    <t xml:space="preserve">    '726457'</t>
  </si>
  <si>
    <t xml:space="preserve">    '726460'</t>
  </si>
  <si>
    <t xml:space="preserve">    '726461'</t>
  </si>
  <si>
    <t xml:space="preserve">    '726463'</t>
  </si>
  <si>
    <t xml:space="preserve">    '726465'</t>
  </si>
  <si>
    <t xml:space="preserve">    '726467'</t>
  </si>
  <si>
    <t xml:space="preserve">    '726505'</t>
  </si>
  <si>
    <t xml:space="preserve">    '726506'</t>
  </si>
  <si>
    <t xml:space="preserve">    '726508'</t>
  </si>
  <si>
    <t xml:space="preserve">    '726574'</t>
  </si>
  <si>
    <t xml:space="preserve">    '727415'</t>
  </si>
  <si>
    <t xml:space="preserve">    '724120'</t>
  </si>
  <si>
    <t xml:space="preserve">    '724125'</t>
  </si>
  <si>
    <t xml:space="preserve">    '724127'</t>
  </si>
  <si>
    <t xml:space="preserve">    '724140'</t>
  </si>
  <si>
    <t xml:space="preserve">    '724170'</t>
  </si>
  <si>
    <t xml:space="preserve">    '724175'</t>
  </si>
  <si>
    <t xml:space="preserve">    '724176'</t>
  </si>
  <si>
    <t xml:space="preserve">    '724177'</t>
  </si>
  <si>
    <t xml:space="preserve">    '724250'</t>
  </si>
  <si>
    <t xml:space="preserve">    '724275'</t>
  </si>
  <si>
    <t xml:space="preserve">    '725640'</t>
  </si>
  <si>
    <t xml:space="preserve">    '725645'</t>
  </si>
  <si>
    <t xml:space="preserve">    '725686'</t>
  </si>
  <si>
    <t xml:space="preserve">    '725690'</t>
  </si>
  <si>
    <t xml:space="preserve">    '725740'</t>
  </si>
  <si>
    <t xml:space="preserve">    '725741'</t>
  </si>
  <si>
    <t xml:space="preserve">    '725744'</t>
  </si>
  <si>
    <t xml:space="preserve">    '725745'</t>
  </si>
  <si>
    <t xml:space="preserve">    '725760'</t>
  </si>
  <si>
    <t xml:space="preserve">    '725763'</t>
  </si>
  <si>
    <t xml:space="preserve">    '725765'</t>
  </si>
  <si>
    <t xml:space="preserve">    '725775'</t>
  </si>
  <si>
    <t xml:space="preserve">    '726650'</t>
  </si>
  <si>
    <t xml:space="preserve">    '726654'</t>
  </si>
  <si>
    <t xml:space="preserve">    '726660'</t>
  </si>
  <si>
    <t xml:space="preserve">    '726665'</t>
  </si>
  <si>
    <t xml:space="preserve">    '726667'</t>
  </si>
  <si>
    <t xml:space="preserve">    '726690'</t>
  </si>
  <si>
    <t xml:space="preserve">    '726710'</t>
  </si>
  <si>
    <t xml:space="preserve">    '726720'</t>
  </si>
  <si>
    <t>Station No.</t>
  </si>
  <si>
    <t>Latitude</t>
  </si>
  <si>
    <t>Longitude</t>
  </si>
  <si>
    <t>Call</t>
  </si>
  <si>
    <t>KHGT</t>
  </si>
  <si>
    <t>KOAR</t>
  </si>
  <si>
    <t>KQVO</t>
  </si>
  <si>
    <t>KNZI</t>
  </si>
  <si>
    <t>KNXP</t>
  </si>
  <si>
    <t>KL63</t>
  </si>
  <si>
    <t>KDYS</t>
  </si>
  <si>
    <t>KNUW</t>
  </si>
  <si>
    <t>KQMG</t>
  </si>
  <si>
    <t>?</t>
  </si>
  <si>
    <t>KQSL</t>
  </si>
  <si>
    <t>KQDB</t>
  </si>
  <si>
    <t>KQKV</t>
  </si>
  <si>
    <t>KQAP</t>
  </si>
  <si>
    <t>KQAW</t>
  </si>
  <si>
    <t>KQMY</t>
  </si>
  <si>
    <t>KQRC</t>
  </si>
  <si>
    <t>KQHY</t>
  </si>
  <si>
    <t>KNYL</t>
  </si>
  <si>
    <t>K3A6</t>
  </si>
  <si>
    <t>KP53</t>
  </si>
  <si>
    <t>KJFZ</t>
  </si>
  <si>
    <t>KLXT</t>
  </si>
  <si>
    <t>KAJO</t>
  </si>
  <si>
    <t>K0J4</t>
  </si>
  <si>
    <t>KPRN</t>
  </si>
  <si>
    <t>KEUF</t>
  </si>
  <si>
    <t>KBOK</t>
  </si>
  <si>
    <t>KDIJ</t>
  </si>
  <si>
    <t>KMJ9</t>
  </si>
  <si>
    <t>KEKQ</t>
  </si>
  <si>
    <t>KNDZ</t>
  </si>
  <si>
    <t>KEYW</t>
  </si>
  <si>
    <t>KBKV</t>
  </si>
  <si>
    <t>KNQX</t>
  </si>
  <si>
    <t>KMTH</t>
  </si>
  <si>
    <t>KGIF</t>
  </si>
  <si>
    <t>KMAI</t>
  </si>
  <si>
    <t>KMIA</t>
  </si>
  <si>
    <t>KVDF</t>
  </si>
  <si>
    <t>KOPF</t>
  </si>
  <si>
    <t>KFLL</t>
  </si>
  <si>
    <t>KHST</t>
  </si>
  <si>
    <t>KTMB</t>
  </si>
  <si>
    <t>KPBI</t>
  </si>
  <si>
    <t>K3A1</t>
  </si>
  <si>
    <t>KPGD</t>
  </si>
  <si>
    <t>KHWO</t>
  </si>
  <si>
    <t>KAPF</t>
  </si>
  <si>
    <t>KFXE</t>
  </si>
  <si>
    <t>KMLB</t>
  </si>
  <si>
    <t>KVRB</t>
  </si>
  <si>
    <t>KPMP</t>
  </si>
  <si>
    <t>KMCO</t>
  </si>
  <si>
    <t>KORL</t>
  </si>
  <si>
    <t>KAQR</t>
  </si>
  <si>
    <t>KAWM</t>
  </si>
  <si>
    <t>KDAB</t>
  </si>
  <si>
    <t>KSFB</t>
  </si>
  <si>
    <t>KJAX</t>
  </si>
  <si>
    <t>KRRF</t>
  </si>
  <si>
    <t>KNIP</t>
  </si>
  <si>
    <t>KNRB</t>
  </si>
  <si>
    <t>KVQQ</t>
  </si>
  <si>
    <t>KCRG</t>
  </si>
  <si>
    <t>KDTS</t>
  </si>
  <si>
    <t>KSAV</t>
  </si>
  <si>
    <t>KCKV</t>
  </si>
  <si>
    <t>KDKB</t>
  </si>
  <si>
    <t>KDNV</t>
  </si>
  <si>
    <t>KCHS</t>
  </si>
  <si>
    <t>KNBC</t>
  </si>
  <si>
    <t>KCLX</t>
  </si>
  <si>
    <t>KLHW</t>
  </si>
  <si>
    <t>KGUY</t>
  </si>
  <si>
    <t>KHND</t>
  </si>
  <si>
    <t>KCPW</t>
  </si>
  <si>
    <t>KFPR</t>
  </si>
  <si>
    <t>KSPG</t>
  </si>
  <si>
    <t>KFMY</t>
  </si>
  <si>
    <t>KRSW</t>
  </si>
  <si>
    <t>KTPA</t>
  </si>
  <si>
    <t>KSRQ</t>
  </si>
  <si>
    <t>KPIE</t>
  </si>
  <si>
    <t>KCTY</t>
  </si>
  <si>
    <t>KAMG</t>
  </si>
  <si>
    <t>KBQK</t>
  </si>
  <si>
    <t>KSSI</t>
  </si>
  <si>
    <t>KTLH</t>
  </si>
  <si>
    <t>KLLI</t>
  </si>
  <si>
    <t>KGNV</t>
  </si>
  <si>
    <t>KWST</t>
  </si>
  <si>
    <t>KVPC</t>
  </si>
  <si>
    <t>KNAK</t>
  </si>
  <si>
    <t>KABY</t>
  </si>
  <si>
    <t>KOLV</t>
  </si>
  <si>
    <t>KVLD</t>
  </si>
  <si>
    <t>KOMH</t>
  </si>
  <si>
    <t>KMCN</t>
  </si>
  <si>
    <t>KWRB</t>
  </si>
  <si>
    <t>KAGS</t>
  </si>
  <si>
    <t>KDNL</t>
  </si>
  <si>
    <t>KGVL</t>
  </si>
  <si>
    <t>KSRC</t>
  </si>
  <si>
    <t>KATL</t>
  </si>
  <si>
    <t>KFTY</t>
  </si>
  <si>
    <t>KPDK</t>
  </si>
  <si>
    <t>KFFC</t>
  </si>
  <si>
    <t>KAAF</t>
  </si>
  <si>
    <t>KVPS</t>
  </si>
  <si>
    <t>KSGJ</t>
  </si>
  <si>
    <t>KLEE</t>
  </si>
  <si>
    <t>KCEW</t>
  </si>
  <si>
    <t>KPNS</t>
  </si>
  <si>
    <t>K40J</t>
  </si>
  <si>
    <t>KNPA</t>
  </si>
  <si>
    <t>KNSE</t>
  </si>
  <si>
    <t>KMOB</t>
  </si>
  <si>
    <t>KBFM</t>
  </si>
  <si>
    <t>KHEY</t>
  </si>
  <si>
    <t>KLOR</t>
  </si>
  <si>
    <t>KPFN</t>
  </si>
  <si>
    <t>KEGI</t>
  </si>
  <si>
    <t>KLSF</t>
  </si>
  <si>
    <t>KCSG</t>
  </si>
  <si>
    <t>KMGM</t>
  </si>
  <si>
    <t>KMXF</t>
  </si>
  <si>
    <t>KSEM</t>
  </si>
  <si>
    <t>KTOI</t>
  </si>
  <si>
    <t>KDHN</t>
  </si>
  <si>
    <t>KOZR</t>
  </si>
  <si>
    <t>KMGE</t>
  </si>
  <si>
    <t>K79J</t>
  </si>
  <si>
    <t>KGZH</t>
  </si>
  <si>
    <t>KDCU</t>
  </si>
  <si>
    <t>KBHM</t>
  </si>
  <si>
    <t>KTCL</t>
  </si>
  <si>
    <t>KANB</t>
  </si>
  <si>
    <t>KEET</t>
  </si>
  <si>
    <t>KMSY</t>
  </si>
  <si>
    <t>KARA</t>
  </si>
  <si>
    <t>KNEW</t>
  </si>
  <si>
    <t>KBTR</t>
  </si>
  <si>
    <t>KBVE</t>
  </si>
  <si>
    <t>KMEI</t>
  </si>
  <si>
    <t>KNMM</t>
  </si>
  <si>
    <t>KHBR</t>
  </si>
  <si>
    <t>KJAN</t>
  </si>
  <si>
    <t>KHKS</t>
  </si>
  <si>
    <t>KGLH</t>
  </si>
  <si>
    <t>KMCB</t>
  </si>
  <si>
    <t>KGWO</t>
  </si>
  <si>
    <t>KASD</t>
  </si>
  <si>
    <t>KPOE</t>
  </si>
  <si>
    <t>KLCH</t>
  </si>
  <si>
    <t>KP92</t>
  </si>
  <si>
    <t>KLFT</t>
  </si>
  <si>
    <t>KP00</t>
  </si>
  <si>
    <t>KBPT</t>
  </si>
  <si>
    <t>KBAZ</t>
  </si>
  <si>
    <t>KGLS</t>
  </si>
  <si>
    <t>KLVJ</t>
  </si>
  <si>
    <t>KDWH</t>
  </si>
  <si>
    <t>KIAH</t>
  </si>
  <si>
    <t>KHOU</t>
  </si>
  <si>
    <t>KEFD</t>
  </si>
  <si>
    <t>KCXO</t>
  </si>
  <si>
    <t>KCLL</t>
  </si>
  <si>
    <t>KLFK</t>
  </si>
  <si>
    <t>KGGG</t>
  </si>
  <si>
    <t>KTYR</t>
  </si>
  <si>
    <t>KCRS</t>
  </si>
  <si>
    <t>KGKY</t>
  </si>
  <si>
    <t>KSHV</t>
  </si>
  <si>
    <t>KDTN</t>
  </si>
  <si>
    <t>KBAD</t>
  </si>
  <si>
    <t>KMLU</t>
  </si>
  <si>
    <t>KESF</t>
  </si>
  <si>
    <t>KTVR</t>
  </si>
  <si>
    <t>KTRL</t>
  </si>
  <si>
    <t>KBRO</t>
  </si>
  <si>
    <t>KHRL</t>
  </si>
  <si>
    <t>KMFE</t>
  </si>
  <si>
    <t>KPIL</t>
  </si>
  <si>
    <t>KCRP</t>
  </si>
  <si>
    <t>KNQI</t>
  </si>
  <si>
    <t>KALI</t>
  </si>
  <si>
    <t>KNOG</t>
  </si>
  <si>
    <t>KLRD</t>
  </si>
  <si>
    <t>KSSF</t>
  </si>
  <si>
    <t>KRKP</t>
  </si>
  <si>
    <t>KCOT</t>
  </si>
  <si>
    <t>KLBX</t>
  </si>
  <si>
    <t>KSAT</t>
  </si>
  <si>
    <t>KHDO</t>
  </si>
  <si>
    <t>KSKF</t>
  </si>
  <si>
    <t>KRND</t>
  </si>
  <si>
    <t>KAAT</t>
  </si>
  <si>
    <t>KTKI</t>
  </si>
  <si>
    <t>KBMQ</t>
  </si>
  <si>
    <t>KSGR</t>
  </si>
  <si>
    <t>KAUS</t>
  </si>
  <si>
    <t>KVCT</t>
  </si>
  <si>
    <t>KNIR</t>
  </si>
  <si>
    <t>KACT</t>
  </si>
  <si>
    <t>KHLR</t>
  </si>
  <si>
    <t>IDEM 570</t>
  </si>
  <si>
    <t>KGRK</t>
  </si>
  <si>
    <t>KDAL</t>
  </si>
  <si>
    <t>IDEM 580</t>
  </si>
  <si>
    <t>KNBE</t>
  </si>
  <si>
    <t>KDTO</t>
  </si>
  <si>
    <t>KDFW</t>
  </si>
  <si>
    <t>KAFW</t>
  </si>
  <si>
    <t>KNFW</t>
  </si>
  <si>
    <t>KFTW</t>
  </si>
  <si>
    <t>KMWL</t>
  </si>
  <si>
    <t>KRBD</t>
  </si>
  <si>
    <t>KSEP</t>
  </si>
  <si>
    <t>KDRT</t>
  </si>
  <si>
    <t>KDLF</t>
  </si>
  <si>
    <t>K6R6</t>
  </si>
  <si>
    <t>KFST</t>
  </si>
  <si>
    <t>KGDP</t>
  </si>
  <si>
    <t>KSJT</t>
  </si>
  <si>
    <t>KDHT</t>
  </si>
  <si>
    <t>KODO</t>
  </si>
  <si>
    <t>KMAF</t>
  </si>
  <si>
    <t>KBGS</t>
  </si>
  <si>
    <t>KINK</t>
  </si>
  <si>
    <t>KABI</t>
  </si>
  <si>
    <t>KBWD</t>
  </si>
  <si>
    <t>KLBB</t>
  </si>
  <si>
    <t>KREE</t>
  </si>
  <si>
    <t>KCQC</t>
  </si>
  <si>
    <t>KRTN</t>
  </si>
  <si>
    <t>KROW</t>
  </si>
  <si>
    <t>KSRN</t>
  </si>
  <si>
    <t>K4CR</t>
  </si>
  <si>
    <t>KCVS</t>
  </si>
  <si>
    <t>KCNM</t>
  </si>
  <si>
    <t>KHOB</t>
  </si>
  <si>
    <t>K2C2</t>
  </si>
  <si>
    <t>KELP</t>
  </si>
  <si>
    <t>KTCS</t>
  </si>
  <si>
    <t>KSVC</t>
  </si>
  <si>
    <t>KDMN</t>
  </si>
  <si>
    <t>KOLS</t>
  </si>
  <si>
    <t>KFHU</t>
  </si>
  <si>
    <t>KDUG</t>
  </si>
  <si>
    <t>KTUS</t>
  </si>
  <si>
    <t>KDMA</t>
  </si>
  <si>
    <t>KSAD</t>
  </si>
  <si>
    <t>KRQE</t>
  </si>
  <si>
    <t>KPHX</t>
  </si>
  <si>
    <t>KDVT</t>
  </si>
  <si>
    <t>KLUF</t>
  </si>
  <si>
    <t>KIWA</t>
  </si>
  <si>
    <t>KSDL</t>
  </si>
  <si>
    <t>KYUM</t>
  </si>
  <si>
    <t>KNJK</t>
  </si>
  <si>
    <t>KALK</t>
  </si>
  <si>
    <t>KABH</t>
  </si>
  <si>
    <t>KAQV</t>
  </si>
  <si>
    <t>KBKB</t>
  </si>
  <si>
    <t>KDNK</t>
  </si>
  <si>
    <t>KRSP</t>
  </si>
  <si>
    <t>KBJN</t>
  </si>
  <si>
    <t>KRYT</t>
  </si>
  <si>
    <t>KRIV</t>
  </si>
  <si>
    <t>KONT</t>
  </si>
  <si>
    <t>KSBD</t>
  </si>
  <si>
    <t>KPSP</t>
  </si>
  <si>
    <t>KRAL</t>
  </si>
  <si>
    <t>KBUR</t>
  </si>
  <si>
    <t>KSMO</t>
  </si>
  <si>
    <t>KVNY</t>
  </si>
  <si>
    <t>KSBP</t>
  </si>
  <si>
    <t>KCNO</t>
  </si>
  <si>
    <t>KSAN</t>
  </si>
  <si>
    <t>KMYF</t>
  </si>
  <si>
    <t>KSDM</t>
  </si>
  <si>
    <t>KNZY</t>
  </si>
  <si>
    <t>KNRS</t>
  </si>
  <si>
    <t>KNSI</t>
  </si>
  <si>
    <t>KNTK</t>
  </si>
  <si>
    <t>KAVX</t>
  </si>
  <si>
    <t>KNUC</t>
  </si>
  <si>
    <t>KNFG</t>
  </si>
  <si>
    <t>KCRQ</t>
  </si>
  <si>
    <t>KNXF</t>
  </si>
  <si>
    <t>KNKX</t>
  </si>
  <si>
    <t>IDEM 930</t>
  </si>
  <si>
    <t>KOKB</t>
  </si>
  <si>
    <t>KLAX</t>
  </si>
  <si>
    <t>KHHR</t>
  </si>
  <si>
    <t>KLGB</t>
  </si>
  <si>
    <t>K5L8</t>
  </si>
  <si>
    <t>KSLI</t>
  </si>
  <si>
    <t>KFUL</t>
  </si>
  <si>
    <t>KSNA</t>
  </si>
  <si>
    <t>K6L9</t>
  </si>
  <si>
    <t>KILM</t>
  </si>
  <si>
    <t>IDEM 011</t>
  </si>
  <si>
    <t>KPOB</t>
  </si>
  <si>
    <t>KHFF</t>
  </si>
  <si>
    <t>KFAY</t>
  </si>
  <si>
    <t>KMRH</t>
  </si>
  <si>
    <t>KRDU</t>
  </si>
  <si>
    <t>KPGV</t>
  </si>
  <si>
    <t>KGSB</t>
  </si>
  <si>
    <t>KRWI</t>
  </si>
  <si>
    <t>KNTU</t>
  </si>
  <si>
    <t>KORF</t>
  </si>
  <si>
    <t>KOFP</t>
  </si>
  <si>
    <t>KNGU</t>
  </si>
  <si>
    <t>KPHF</t>
  </si>
  <si>
    <t>KFAF</t>
  </si>
  <si>
    <t>KNKT</t>
  </si>
  <si>
    <t>KEWN</t>
  </si>
  <si>
    <t>KNCA</t>
  </si>
  <si>
    <t>KNJM</t>
  </si>
  <si>
    <t>KCAE</t>
  </si>
  <si>
    <t>KCUB</t>
  </si>
  <si>
    <t>KMMT</t>
  </si>
  <si>
    <t>KFLO</t>
  </si>
  <si>
    <t>KLBT</t>
  </si>
  <si>
    <t>KMEB</t>
  </si>
  <si>
    <t>KAHN</t>
  </si>
  <si>
    <t>KOGB</t>
  </si>
  <si>
    <t>KUZA</t>
  </si>
  <si>
    <t>KCEU</t>
  </si>
  <si>
    <t>KGMU</t>
  </si>
  <si>
    <t>KGSP</t>
  </si>
  <si>
    <t>KGRD</t>
  </si>
  <si>
    <t>KAND</t>
  </si>
  <si>
    <t>KHSE</t>
  </si>
  <si>
    <t>KCLT</t>
  </si>
  <si>
    <t>KHKY</t>
  </si>
  <si>
    <t>KAKH</t>
  </si>
  <si>
    <t>KAVL</t>
  </si>
  <si>
    <t>KGSO</t>
  </si>
  <si>
    <t>K9L2</t>
  </si>
  <si>
    <t>KBUY</t>
  </si>
  <si>
    <t>KTRI</t>
  </si>
  <si>
    <t>IDEM 181</t>
  </si>
  <si>
    <t>KINT</t>
  </si>
  <si>
    <t>KEQY</t>
  </si>
  <si>
    <t>KRMG</t>
  </si>
  <si>
    <t>KHSV</t>
  </si>
  <si>
    <t>KHUA</t>
  </si>
  <si>
    <t>KMSL</t>
  </si>
  <si>
    <t>KCHA</t>
  </si>
  <si>
    <t>KOQT</t>
  </si>
  <si>
    <t>KTYS</t>
  </si>
  <si>
    <t>KCSV</t>
  </si>
  <si>
    <t>KBNA</t>
  </si>
  <si>
    <t>KMQY</t>
  </si>
  <si>
    <t>KLOZ</t>
  </si>
  <si>
    <t>KPOF</t>
  </si>
  <si>
    <t>KCBM</t>
  </si>
  <si>
    <t>KTUP</t>
  </si>
  <si>
    <t>KMEM</t>
  </si>
  <si>
    <t>KNQA</t>
  </si>
  <si>
    <t>KMKL</t>
  </si>
  <si>
    <t>KDYR</t>
  </si>
  <si>
    <t>KLZK</t>
  </si>
  <si>
    <t>KLIT</t>
  </si>
  <si>
    <t>IDEM 401</t>
  </si>
  <si>
    <t>KLRF</t>
  </si>
  <si>
    <t>KJBR</t>
  </si>
  <si>
    <t>KBYH</t>
  </si>
  <si>
    <t>KHKA</t>
  </si>
  <si>
    <t>KHOT</t>
  </si>
  <si>
    <t>KPBF</t>
  </si>
  <si>
    <t>KTXK</t>
  </si>
  <si>
    <t>KELD</t>
  </si>
  <si>
    <t>KLLQ</t>
  </si>
  <si>
    <t>KRUE</t>
  </si>
  <si>
    <t>KASG</t>
  </si>
  <si>
    <t>KMWT</t>
  </si>
  <si>
    <t>KXNA</t>
  </si>
  <si>
    <t>KFSM</t>
  </si>
  <si>
    <t>KFYV</t>
  </si>
  <si>
    <t>KHRO</t>
  </si>
  <si>
    <t>KROG</t>
  </si>
  <si>
    <t>KUNO</t>
  </si>
  <si>
    <t>KCGI</t>
  </si>
  <si>
    <t>KJLN</t>
  </si>
  <si>
    <t>KSPS</t>
  </si>
  <si>
    <t>KSHP</t>
  </si>
  <si>
    <t>KLTS</t>
  </si>
  <si>
    <t>KCSM</t>
  </si>
  <si>
    <t>KGAG</t>
  </si>
  <si>
    <t>KFDR</t>
  </si>
  <si>
    <t>KOKC</t>
  </si>
  <si>
    <t>KEND</t>
  </si>
  <si>
    <t>KGOK</t>
  </si>
  <si>
    <t>KTIK</t>
  </si>
  <si>
    <t>KPWA</t>
  </si>
  <si>
    <t>KSWO</t>
  </si>
  <si>
    <t>KPNC</t>
  </si>
  <si>
    <t>KFSI</t>
  </si>
  <si>
    <t>KADM</t>
  </si>
  <si>
    <t>KMKO</t>
  </si>
  <si>
    <t>KTUL</t>
  </si>
  <si>
    <t>KRVS</t>
  </si>
  <si>
    <t>KBVO</t>
  </si>
  <si>
    <t>KMLC</t>
  </si>
  <si>
    <t>KLAW</t>
  </si>
  <si>
    <t>KCAO</t>
  </si>
  <si>
    <t>KCDS</t>
  </si>
  <si>
    <t>IDEM 601</t>
  </si>
  <si>
    <t>KGNT</t>
  </si>
  <si>
    <t>KGUP</t>
  </si>
  <si>
    <t>KBBD</t>
  </si>
  <si>
    <t>KAMA</t>
  </si>
  <si>
    <t>KBGD</t>
  </si>
  <si>
    <t>KABQ</t>
  </si>
  <si>
    <t>KSAF</t>
  </si>
  <si>
    <t>KFMN</t>
  </si>
  <si>
    <t>KTCC</t>
  </si>
  <si>
    <t>KLVS</t>
  </si>
  <si>
    <t>KIGM</t>
  </si>
  <si>
    <t>KPGA</t>
  </si>
  <si>
    <t>KPRC</t>
  </si>
  <si>
    <t>IDEM 721</t>
  </si>
  <si>
    <t>KINW</t>
  </si>
  <si>
    <t>KSOW</t>
  </si>
  <si>
    <t>KFLG</t>
  </si>
  <si>
    <t>KSJN</t>
  </si>
  <si>
    <t>KGNC</t>
  </si>
  <si>
    <t>KEED</t>
  </si>
  <si>
    <t>KEDW</t>
  </si>
  <si>
    <t>KDAG</t>
  </si>
  <si>
    <t>KWJF</t>
  </si>
  <si>
    <t>KPMD</t>
  </si>
  <si>
    <t>KVCV</t>
  </si>
  <si>
    <t>KSDB</t>
  </si>
  <si>
    <t>KBFL</t>
  </si>
  <si>
    <t>KLAS</t>
  </si>
  <si>
    <t>KLSV</t>
  </si>
  <si>
    <t>KDRA</t>
  </si>
  <si>
    <t>KFAT</t>
  </si>
  <si>
    <t>KMMH</t>
  </si>
  <si>
    <t>KHJO</t>
  </si>
  <si>
    <t>K87Q</t>
  </si>
  <si>
    <t>KNTD</t>
  </si>
  <si>
    <t>KSBA</t>
  </si>
  <si>
    <t>KCMA</t>
  </si>
  <si>
    <t>KOXR</t>
  </si>
  <si>
    <t>KVBG</t>
  </si>
  <si>
    <t>KXVW</t>
  </si>
  <si>
    <t>KSMX</t>
  </si>
  <si>
    <t>KPRB</t>
  </si>
  <si>
    <t>KRZZ</t>
  </si>
  <si>
    <t>KRIC</t>
  </si>
  <si>
    <t>KCHO</t>
  </si>
  <si>
    <t>KAKQ</t>
  </si>
  <si>
    <t>KWAL</t>
  </si>
  <si>
    <t>IDEM 420</t>
  </si>
  <si>
    <t>KIAD</t>
  </si>
  <si>
    <t>KNYG</t>
  </si>
  <si>
    <t>KDAA</t>
  </si>
  <si>
    <t>KNHK</t>
  </si>
  <si>
    <t>KESN</t>
  </si>
  <si>
    <t>KSBY</t>
  </si>
  <si>
    <t>KDCA</t>
  </si>
  <si>
    <t>KBWI</t>
  </si>
  <si>
    <t>KFME</t>
  </si>
  <si>
    <t>KHGR</t>
  </si>
  <si>
    <t>KMTN</t>
  </si>
  <si>
    <t>KACY</t>
  </si>
  <si>
    <t>KVAY</t>
  </si>
  <si>
    <t>KMIV</t>
  </si>
  <si>
    <t>K12N</t>
  </si>
  <si>
    <t>KPHL</t>
  </si>
  <si>
    <t>KPNE</t>
  </si>
  <si>
    <t>KNXX</t>
  </si>
  <si>
    <t>KDOV</t>
  </si>
  <si>
    <t>KILG</t>
  </si>
  <si>
    <t>KNEL</t>
  </si>
  <si>
    <t>KGED</t>
  </si>
  <si>
    <t>KCDW</t>
  </si>
  <si>
    <t>KTTN</t>
  </si>
  <si>
    <t>KWRI</t>
  </si>
  <si>
    <t>KMMU</t>
  </si>
  <si>
    <t>KLYH</t>
  </si>
  <si>
    <t>KSMQ</t>
  </si>
  <si>
    <t>KDAN</t>
  </si>
  <si>
    <t>KROA</t>
  </si>
  <si>
    <t>KBKW</t>
  </si>
  <si>
    <t>KBLF</t>
  </si>
  <si>
    <t>KLWB</t>
  </si>
  <si>
    <t>KCRW</t>
  </si>
  <si>
    <t>KEKN</t>
  </si>
  <si>
    <t>KCKB</t>
  </si>
  <si>
    <t>KMGW</t>
  </si>
  <si>
    <t>KMRB</t>
  </si>
  <si>
    <t>KCVG</t>
  </si>
  <si>
    <t>KLEX</t>
  </si>
  <si>
    <t>KSDF</t>
  </si>
  <si>
    <t>KFFT</t>
  </si>
  <si>
    <t>KLOU</t>
  </si>
  <si>
    <t>KOWB</t>
  </si>
  <si>
    <t>KFTK</t>
  </si>
  <si>
    <t>KHTS</t>
  </si>
  <si>
    <t>KHLG</t>
  </si>
  <si>
    <t>KMGY</t>
  </si>
  <si>
    <t>KCMH</t>
  </si>
  <si>
    <t>KLCK</t>
  </si>
  <si>
    <t>KZZV</t>
  </si>
  <si>
    <t>KTDZ</t>
  </si>
  <si>
    <t>KOSU</t>
  </si>
  <si>
    <t>KDAY</t>
  </si>
  <si>
    <t>KLHQ</t>
  </si>
  <si>
    <t>KSGH</t>
  </si>
  <si>
    <t>KILN</t>
  </si>
  <si>
    <t>KLUK</t>
  </si>
  <si>
    <t>KAOH</t>
  </si>
  <si>
    <t>KAKR</t>
  </si>
  <si>
    <t>KEVV</t>
  </si>
  <si>
    <t>KMDH</t>
  </si>
  <si>
    <t>KBLV</t>
  </si>
  <si>
    <t>KSTL</t>
  </si>
  <si>
    <t>KSUS</t>
  </si>
  <si>
    <t>KSET</t>
  </si>
  <si>
    <t>KPAH</t>
  </si>
  <si>
    <t>KSME</t>
  </si>
  <si>
    <t>KBAK</t>
  </si>
  <si>
    <t>KHUF</t>
  </si>
  <si>
    <t>KBMG</t>
  </si>
  <si>
    <t>KIND</t>
  </si>
  <si>
    <t>KEYE</t>
  </si>
  <si>
    <t>KLAF</t>
  </si>
  <si>
    <t>KGSH</t>
  </si>
  <si>
    <t>KSPI</t>
  </si>
  <si>
    <t>KALN</t>
  </si>
  <si>
    <t>KUIN</t>
  </si>
  <si>
    <t>KBMI</t>
  </si>
  <si>
    <t>KSGF</t>
  </si>
  <si>
    <t>KCOU</t>
  </si>
  <si>
    <t>KDMO</t>
  </si>
  <si>
    <t>KIRK</t>
  </si>
  <si>
    <t>KVIH</t>
  </si>
  <si>
    <t>KTBN</t>
  </si>
  <si>
    <t>KJEF</t>
  </si>
  <si>
    <t>KMCI</t>
  </si>
  <si>
    <t>KMKC</t>
  </si>
  <si>
    <t>IDEM 461</t>
  </si>
  <si>
    <t>KCDJ</t>
  </si>
  <si>
    <t>KGVM</t>
  </si>
  <si>
    <t>KSZL</t>
  </si>
  <si>
    <t>KSTJ</t>
  </si>
  <si>
    <t>KALS</t>
  </si>
  <si>
    <t>KDRO</t>
  </si>
  <si>
    <t>KTEX</t>
  </si>
  <si>
    <t>KLHX</t>
  </si>
  <si>
    <t>KLAA</t>
  </si>
  <si>
    <t>KPUB</t>
  </si>
  <si>
    <t>KTAD</t>
  </si>
  <si>
    <t>KSPD</t>
  </si>
  <si>
    <t>KCOS</t>
  </si>
  <si>
    <t>KLIC</t>
  </si>
  <si>
    <t>KAPA</t>
  </si>
  <si>
    <t>KLXV</t>
  </si>
  <si>
    <t>KEEO</t>
  </si>
  <si>
    <t>KEGE</t>
  </si>
  <si>
    <t>KASE</t>
  </si>
  <si>
    <t>KFCS</t>
  </si>
  <si>
    <t>KITR</t>
  </si>
  <si>
    <t>KDNR</t>
  </si>
  <si>
    <t>KBKF</t>
  </si>
  <si>
    <t>KFCL</t>
  </si>
  <si>
    <t>KAKO</t>
  </si>
  <si>
    <t>KBJC</t>
  </si>
  <si>
    <t>KPUC</t>
  </si>
  <si>
    <t>KT62</t>
  </si>
  <si>
    <t>KCDC</t>
  </si>
  <si>
    <t>KBCE</t>
  </si>
  <si>
    <t>KMLF</t>
  </si>
  <si>
    <t>KGJT</t>
  </si>
  <si>
    <t>KMTJ</t>
  </si>
  <si>
    <t>KCEZ</t>
  </si>
  <si>
    <t>KGXY</t>
  </si>
  <si>
    <t>KCNY</t>
  </si>
  <si>
    <t>KLGU</t>
  </si>
  <si>
    <t>KBIH</t>
  </si>
  <si>
    <t>KMER</t>
  </si>
  <si>
    <t>KMCE</t>
  </si>
  <si>
    <t>KVCB</t>
  </si>
  <si>
    <t>KSAC</t>
  </si>
  <si>
    <t>KMHR</t>
  </si>
  <si>
    <t>KMCC</t>
  </si>
  <si>
    <t>KBAB</t>
  </si>
  <si>
    <t>KMYV</t>
  </si>
  <si>
    <t>KSMF</t>
  </si>
  <si>
    <t>KTNX</t>
  </si>
  <si>
    <t>KVGT</t>
  </si>
  <si>
    <t>KTPH</t>
  </si>
  <si>
    <t>KELY</t>
  </si>
  <si>
    <t>KP38</t>
  </si>
  <si>
    <t>KRNO</t>
  </si>
  <si>
    <t>KNFL</t>
  </si>
  <si>
    <t>KMRY</t>
  </si>
  <si>
    <t>KSNS</t>
  </si>
  <si>
    <t>KSCK</t>
  </si>
  <si>
    <t>KMOD</t>
  </si>
  <si>
    <t>KLVK</t>
  </si>
  <si>
    <t>KOAK</t>
  </si>
  <si>
    <t>KHWD</t>
  </si>
  <si>
    <t>KCCR</t>
  </si>
  <si>
    <t>KSFO</t>
  </si>
  <si>
    <t>KSJC</t>
  </si>
  <si>
    <t>KAPC</t>
  </si>
  <si>
    <t>KSRF</t>
  </si>
  <si>
    <t>KSTS</t>
  </si>
  <si>
    <t>KDSV</t>
  </si>
  <si>
    <t>KMTP</t>
  </si>
  <si>
    <t>KMGJ</t>
  </si>
  <si>
    <t>KHWV</t>
  </si>
  <si>
    <t>KEWR</t>
  </si>
  <si>
    <t>KTEB</t>
  </si>
  <si>
    <t>KMMK</t>
  </si>
  <si>
    <t>KLGA</t>
  </si>
  <si>
    <t>KNYC</t>
  </si>
  <si>
    <t>KISP</t>
  </si>
  <si>
    <t>KPOU</t>
  </si>
  <si>
    <t>KHPN</t>
  </si>
  <si>
    <t>KSWF</t>
  </si>
  <si>
    <t>KBDR</t>
  </si>
  <si>
    <t>KHVN</t>
  </si>
  <si>
    <t>KGON</t>
  </si>
  <si>
    <t>KBED</t>
  </si>
  <si>
    <t>KACK</t>
  </si>
  <si>
    <t>IDEM 061</t>
  </si>
  <si>
    <t>KPYM</t>
  </si>
  <si>
    <t>KEWB</t>
  </si>
  <si>
    <t>KMVY</t>
  </si>
  <si>
    <t>KHYA</t>
  </si>
  <si>
    <t>KTAN</t>
  </si>
  <si>
    <t>KCQX</t>
  </si>
  <si>
    <t>KPVD</t>
  </si>
  <si>
    <t>KOQU</t>
  </si>
  <si>
    <t>KAQW</t>
  </si>
  <si>
    <t>KUUU</t>
  </si>
  <si>
    <t>KBDL</t>
  </si>
  <si>
    <t>KIJD</t>
  </si>
  <si>
    <t>KORE</t>
  </si>
  <si>
    <t>KDXR</t>
  </si>
  <si>
    <t>KHFD</t>
  </si>
  <si>
    <t>KBVY</t>
  </si>
  <si>
    <t>KBOS</t>
  </si>
  <si>
    <t>KNZW</t>
  </si>
  <si>
    <t>KOWD</t>
  </si>
  <si>
    <t>KRDG</t>
  </si>
  <si>
    <t>IDEM 101</t>
  </si>
  <si>
    <t>KGKJ</t>
  </si>
  <si>
    <t>KSEG</t>
  </si>
  <si>
    <t>KFIT</t>
  </si>
  <si>
    <t>KPTW</t>
  </si>
  <si>
    <t>KCXY</t>
  </si>
  <si>
    <t>KDYL</t>
  </si>
  <si>
    <t>KTHV</t>
  </si>
  <si>
    <t>KMDT</t>
  </si>
  <si>
    <t>KFIG</t>
  </si>
  <si>
    <t>KPSB</t>
  </si>
  <si>
    <t>KDUJ</t>
  </si>
  <si>
    <t>KAOO</t>
  </si>
  <si>
    <t>KJST</t>
  </si>
  <si>
    <t>KAVP</t>
  </si>
  <si>
    <t>KIPT</t>
  </si>
  <si>
    <t>KMUI</t>
  </si>
  <si>
    <t>KMSV</t>
  </si>
  <si>
    <t>KFZY</t>
  </si>
  <si>
    <t>KBGM</t>
  </si>
  <si>
    <t>KITH</t>
  </si>
  <si>
    <t>KELM</t>
  </si>
  <si>
    <t>KELZ</t>
  </si>
  <si>
    <t>KABE</t>
  </si>
  <si>
    <t>KALB</t>
  </si>
  <si>
    <t>KGFL</t>
  </si>
  <si>
    <t>KPLB</t>
  </si>
  <si>
    <t>KSYR</t>
  </si>
  <si>
    <t>KPEO</t>
  </si>
  <si>
    <t>KRME</t>
  </si>
  <si>
    <t>KUCA</t>
  </si>
  <si>
    <t>KPIT</t>
  </si>
  <si>
    <t>KBVI</t>
  </si>
  <si>
    <t>KAGC</t>
  </si>
  <si>
    <t>KLBE</t>
  </si>
  <si>
    <t>KMNN</t>
  </si>
  <si>
    <t>KCAK</t>
  </si>
  <si>
    <t>KLPR</t>
  </si>
  <si>
    <t>KBJJ</t>
  </si>
  <si>
    <t>KHAO</t>
  </si>
  <si>
    <t>KPHD</t>
  </si>
  <si>
    <t>KVTA</t>
  </si>
  <si>
    <t>KJHW</t>
  </si>
  <si>
    <t>KCLE</t>
  </si>
  <si>
    <t>KLNN</t>
  </si>
  <si>
    <t>KBKL</t>
  </si>
  <si>
    <t>KMFD</t>
  </si>
  <si>
    <t>KCGF</t>
  </si>
  <si>
    <t>KYNG</t>
  </si>
  <si>
    <t>KDFI</t>
  </si>
  <si>
    <t>KHZY</t>
  </si>
  <si>
    <t>KERI</t>
  </si>
  <si>
    <t>KBFD</t>
  </si>
  <si>
    <t>KBUF</t>
  </si>
  <si>
    <t>KIAG</t>
  </si>
  <si>
    <t>KROC</t>
  </si>
  <si>
    <t>KORD</t>
  </si>
  <si>
    <t>KDPA</t>
  </si>
  <si>
    <t>KNBU</t>
  </si>
  <si>
    <t>KCPS</t>
  </si>
  <si>
    <t>KCMI</t>
  </si>
  <si>
    <t>KDEC</t>
  </si>
  <si>
    <t>KMTO</t>
  </si>
  <si>
    <t>KPIA</t>
  </si>
  <si>
    <t>KVPZ</t>
  </si>
  <si>
    <t>KFWA</t>
  </si>
  <si>
    <t>KGUS</t>
  </si>
  <si>
    <t>KMIE</t>
  </si>
  <si>
    <t>KMDW</t>
  </si>
  <si>
    <t>KLWV</t>
  </si>
  <si>
    <t>KCGX</t>
  </si>
  <si>
    <t>KUGN</t>
  </si>
  <si>
    <t>KDVN</t>
  </si>
  <si>
    <t>KSBN</t>
  </si>
  <si>
    <t>KEKM</t>
  </si>
  <si>
    <t>KTOL</t>
  </si>
  <si>
    <t>KFDY</t>
  </si>
  <si>
    <t>KDTW</t>
  </si>
  <si>
    <t>KARB</t>
  </si>
  <si>
    <t>KDET</t>
  </si>
  <si>
    <t>KYIP</t>
  </si>
  <si>
    <t>KMTC</t>
  </si>
  <si>
    <t>KP58</t>
  </si>
  <si>
    <t>KP59</t>
  </si>
  <si>
    <t>KLAN</t>
  </si>
  <si>
    <t>KBIV</t>
  </si>
  <si>
    <t>KJXN</t>
  </si>
  <si>
    <t>KBTL</t>
  </si>
  <si>
    <t>KADG</t>
  </si>
  <si>
    <t>KGLR</t>
  </si>
  <si>
    <t>KRFD</t>
  </si>
  <si>
    <t>KMPO</t>
  </si>
  <si>
    <t>KMLI</t>
  </si>
  <si>
    <t>KCID</t>
  </si>
  <si>
    <t>KBRL</t>
  </si>
  <si>
    <t>KDSM</t>
  </si>
  <si>
    <t>KMIW</t>
  </si>
  <si>
    <t>KIOW</t>
  </si>
  <si>
    <t>KOTM</t>
  </si>
  <si>
    <t>KDBQ</t>
  </si>
  <si>
    <t>KAMW</t>
  </si>
  <si>
    <t>KALO</t>
  </si>
  <si>
    <t>KMCW</t>
  </si>
  <si>
    <t>KLWD</t>
  </si>
  <si>
    <t>KOMA</t>
  </si>
  <si>
    <t>KLNK</t>
  </si>
  <si>
    <t>KNUI</t>
  </si>
  <si>
    <t>KBIE</t>
  </si>
  <si>
    <t>KGRI</t>
  </si>
  <si>
    <t>KODX</t>
  </si>
  <si>
    <t>KHSI</t>
  </si>
  <si>
    <t>KEAR</t>
  </si>
  <si>
    <t>KTQE</t>
  </si>
  <si>
    <t>K3NO</t>
  </si>
  <si>
    <t>KFNB</t>
  </si>
  <si>
    <t>KOFF</t>
  </si>
  <si>
    <t>KBBW</t>
  </si>
  <si>
    <t>KANW</t>
  </si>
  <si>
    <t>KOFK</t>
  </si>
  <si>
    <t>KSUX</t>
  </si>
  <si>
    <t>KSNY</t>
  </si>
  <si>
    <t>KLBF</t>
  </si>
  <si>
    <t>KMCK</t>
  </si>
  <si>
    <t>KIML</t>
  </si>
  <si>
    <t>KAIA</t>
  </si>
  <si>
    <t>KCDR</t>
  </si>
  <si>
    <t>KCYS</t>
  </si>
  <si>
    <t>KLAR</t>
  </si>
  <si>
    <t>KDEN</t>
  </si>
  <si>
    <t>KBFF</t>
  </si>
  <si>
    <t>KDGW</t>
  </si>
  <si>
    <t>KCPR</t>
  </si>
  <si>
    <t>KVEL</t>
  </si>
  <si>
    <t>KHDN</t>
  </si>
  <si>
    <t>KRIL</t>
  </si>
  <si>
    <t>KSLC</t>
  </si>
  <si>
    <t>KRKS</t>
  </si>
  <si>
    <t>KRWL</t>
  </si>
  <si>
    <t>KOGD</t>
  </si>
  <si>
    <t>KHIF</t>
  </si>
  <si>
    <t>KLND</t>
  </si>
  <si>
    <t>KTOR</t>
  </si>
  <si>
    <t>KRIW</t>
  </si>
  <si>
    <t>KEVW</t>
  </si>
  <si>
    <t>KPIH</t>
  </si>
  <si>
    <t>KP69</t>
  </si>
  <si>
    <t>KIDA</t>
  </si>
  <si>
    <t>KLOL</t>
  </si>
  <si>
    <t>KENV</t>
  </si>
  <si>
    <t>KP68</t>
  </si>
  <si>
    <t>KEKO</t>
  </si>
  <si>
    <t>KWMC</t>
  </si>
  <si>
    <t>KBAM</t>
  </si>
  <si>
    <t>KBLU</t>
  </si>
  <si>
    <t>KTRK</t>
  </si>
  <si>
    <t>KTVL</t>
  </si>
  <si>
    <t>KMYL</t>
  </si>
  <si>
    <t>KSUN</t>
  </si>
  <si>
    <t>KTWF</t>
  </si>
  <si>
    <t>KBYI</t>
  </si>
  <si>
    <t>KLMT</t>
  </si>
  <si>
    <t>KUKI</t>
  </si>
  <si>
    <t>KRBL</t>
  </si>
  <si>
    <t>KRDD</t>
  </si>
  <si>
    <t>KACV</t>
  </si>
  <si>
    <t>KCEC</t>
  </si>
  <si>
    <t>KSIY</t>
  </si>
  <si>
    <t>KMHS</t>
  </si>
  <si>
    <t>KMFR</t>
  </si>
  <si>
    <t>KSXT</t>
  </si>
  <si>
    <t>KCON</t>
  </si>
  <si>
    <t>KPSM</t>
  </si>
  <si>
    <t>KDAW</t>
  </si>
  <si>
    <t>KPWN</t>
  </si>
  <si>
    <t>KBGR</t>
  </si>
  <si>
    <t>KBHB</t>
  </si>
  <si>
    <t>KFVE</t>
  </si>
  <si>
    <t>KLEB</t>
  </si>
  <si>
    <t>KMVL</t>
  </si>
  <si>
    <t>KVSF</t>
  </si>
  <si>
    <t>KMPV</t>
  </si>
  <si>
    <t>KBML</t>
  </si>
  <si>
    <t>KAFN</t>
  </si>
  <si>
    <t>KHIE</t>
  </si>
  <si>
    <t>KDDH</t>
  </si>
  <si>
    <t>KBTV</t>
  </si>
  <si>
    <t>KIZG</t>
  </si>
  <si>
    <t>KAUG</t>
  </si>
  <si>
    <t>KGNR</t>
  </si>
  <si>
    <t>KMLT</t>
  </si>
  <si>
    <t>KMSS</t>
  </si>
  <si>
    <t>KPBG</t>
  </si>
  <si>
    <t>KARX</t>
  </si>
  <si>
    <t>KART</t>
  </si>
  <si>
    <t>KSLK</t>
  </si>
  <si>
    <t>KGRR</t>
  </si>
  <si>
    <t>KBEH</t>
  </si>
  <si>
    <t>KAZO</t>
  </si>
  <si>
    <t>KMKG</t>
  </si>
  <si>
    <t>KFNT</t>
  </si>
  <si>
    <t>KPTK</t>
  </si>
  <si>
    <t>KMBS</t>
  </si>
  <si>
    <t>KHTL</t>
  </si>
  <si>
    <t>KMBL</t>
  </si>
  <si>
    <t>KTVC</t>
  </si>
  <si>
    <t>KAPN</t>
  </si>
  <si>
    <t>KOSC</t>
  </si>
  <si>
    <t>KP75</t>
  </si>
  <si>
    <t>KMKE</t>
  </si>
  <si>
    <t>KARV</t>
  </si>
  <si>
    <t>KMSN</t>
  </si>
  <si>
    <t>KLNR</t>
  </si>
  <si>
    <t>KASX</t>
  </si>
  <si>
    <t>KRAC</t>
  </si>
  <si>
    <t>KSBM</t>
  </si>
  <si>
    <t>KLSE</t>
  </si>
  <si>
    <t>KEAU</t>
  </si>
  <si>
    <t>KVOK</t>
  </si>
  <si>
    <t>KOVS</t>
  </si>
  <si>
    <t>KRST</t>
  </si>
  <si>
    <t>KGRB</t>
  </si>
  <si>
    <t>KISW</t>
  </si>
  <si>
    <t>KOSH</t>
  </si>
  <si>
    <t>KATW</t>
  </si>
  <si>
    <t>KAUW</t>
  </si>
  <si>
    <t>KCWA</t>
  </si>
  <si>
    <t>KRPD</t>
  </si>
  <si>
    <t>KEST</t>
  </si>
  <si>
    <t>KSPW</t>
  </si>
  <si>
    <t>KENW</t>
  </si>
  <si>
    <t>KFLD</t>
  </si>
  <si>
    <t>KHYR</t>
  </si>
  <si>
    <t>KFSD</t>
  </si>
  <si>
    <t>KCUT</t>
  </si>
  <si>
    <t>KBKX</t>
  </si>
  <si>
    <t>KPHP</t>
  </si>
  <si>
    <t>KIEN</t>
  </si>
  <si>
    <t>KICR</t>
  </si>
  <si>
    <t>K8D3</t>
  </si>
  <si>
    <t>KYKN</t>
  </si>
  <si>
    <t>K9V9</t>
  </si>
  <si>
    <t>KD07</t>
  </si>
  <si>
    <t>KHON</t>
  </si>
  <si>
    <t>KMHE</t>
  </si>
  <si>
    <t>KATY</t>
  </si>
  <si>
    <t>KSTC</t>
  </si>
  <si>
    <t>KBRD</t>
  </si>
  <si>
    <t>KRWF</t>
  </si>
  <si>
    <t>KAXN</t>
  </si>
  <si>
    <t>KMML</t>
  </si>
  <si>
    <t>KFFM</t>
  </si>
  <si>
    <t>KMFI</t>
  </si>
  <si>
    <t>KMIC</t>
  </si>
  <si>
    <t>KFCM</t>
  </si>
  <si>
    <t>KMSP</t>
  </si>
  <si>
    <t>KSTP</t>
  </si>
  <si>
    <t>KMKT</t>
  </si>
  <si>
    <t>KFRM</t>
  </si>
  <si>
    <t>KABR</t>
  </si>
  <si>
    <t>KEFC</t>
  </si>
  <si>
    <t>KRAP</t>
  </si>
  <si>
    <t>KRCA</t>
  </si>
  <si>
    <t>K2WX</t>
  </si>
  <si>
    <t>KGCC</t>
  </si>
  <si>
    <t>KBYG</t>
  </si>
  <si>
    <t>KSHR</t>
  </si>
  <si>
    <t>KWRL</t>
  </si>
  <si>
    <t>KGEY</t>
  </si>
  <si>
    <t>KMLS</t>
  </si>
  <si>
    <t>KMBG</t>
  </si>
  <si>
    <t>KPIR</t>
  </si>
  <si>
    <t>KY22</t>
  </si>
  <si>
    <t>KBPI</t>
  </si>
  <si>
    <t>KBIL</t>
  </si>
  <si>
    <t>KLWT</t>
  </si>
  <si>
    <t>KBHK</t>
  </si>
  <si>
    <t>KBTM</t>
  </si>
  <si>
    <t>IDEM 785</t>
  </si>
  <si>
    <t>KDLN</t>
  </si>
  <si>
    <t>KBZN</t>
  </si>
  <si>
    <t>KBOI</t>
  </si>
  <si>
    <t>KMUO</t>
  </si>
  <si>
    <t>KJER</t>
  </si>
  <si>
    <t>KMLP</t>
  </si>
  <si>
    <t>KRXE</t>
  </si>
  <si>
    <t>KSNT</t>
  </si>
  <si>
    <t>KBNO</t>
  </si>
  <si>
    <t>KRDM</t>
  </si>
  <si>
    <t>KSPB</t>
  </si>
  <si>
    <t>KONO</t>
  </si>
  <si>
    <t>KP88</t>
  </si>
  <si>
    <t>KREO</t>
  </si>
  <si>
    <t>KPDT</t>
  </si>
  <si>
    <t>KMMV</t>
  </si>
  <si>
    <t>KHRI</t>
  </si>
  <si>
    <t>KMEH</t>
  </si>
  <si>
    <t>KBKE</t>
  </si>
  <si>
    <t>KRBG</t>
  </si>
  <si>
    <t>KOTH</t>
  </si>
  <si>
    <t>KEUG</t>
  </si>
  <si>
    <t>KSLE</t>
  </si>
  <si>
    <t>KONP</t>
  </si>
  <si>
    <t>KUAO</t>
  </si>
  <si>
    <t>KPDX</t>
  </si>
  <si>
    <t>KTTD</t>
  </si>
  <si>
    <t>KHIO</t>
  </si>
  <si>
    <t>KDLS</t>
  </si>
  <si>
    <t>KHUL</t>
  </si>
  <si>
    <t>K40B</t>
  </si>
  <si>
    <t>KCAR</t>
  </si>
  <si>
    <t>KLIZ</t>
  </si>
  <si>
    <t>KIWI</t>
  </si>
  <si>
    <t>KANJ</t>
  </si>
  <si>
    <t>IDEM 340</t>
  </si>
  <si>
    <t>KPLN</t>
  </si>
  <si>
    <t>KRHI</t>
  </si>
  <si>
    <t>KMQT</t>
  </si>
  <si>
    <t>KMCD</t>
  </si>
  <si>
    <t>KACB</t>
  </si>
  <si>
    <t>KIMT</t>
  </si>
  <si>
    <t>KCMX</t>
  </si>
  <si>
    <t>KMZH</t>
  </si>
  <si>
    <t>KDLH</t>
  </si>
  <si>
    <t>KHIB</t>
  </si>
  <si>
    <t>KGNA</t>
  </si>
  <si>
    <t>KINL</t>
  </si>
  <si>
    <t>KBDE</t>
  </si>
  <si>
    <t>KFAR</t>
  </si>
  <si>
    <t>KJMS</t>
  </si>
  <si>
    <t>KP61</t>
  </si>
  <si>
    <t>KGFK</t>
  </si>
  <si>
    <t>KRDR</t>
  </si>
  <si>
    <t>KBIS</t>
  </si>
  <si>
    <t>KDIK</t>
  </si>
  <si>
    <t>KISN</t>
  </si>
  <si>
    <t>KMIB</t>
  </si>
  <si>
    <t>KMOT</t>
  </si>
  <si>
    <t>KN60</t>
  </si>
  <si>
    <t>KGGW</t>
  </si>
  <si>
    <t>KJDN</t>
  </si>
  <si>
    <t>KOLF</t>
  </si>
  <si>
    <t>KHLN</t>
  </si>
  <si>
    <t>KMSO</t>
  </si>
  <si>
    <t>KGTF</t>
  </si>
  <si>
    <t>KGFA</t>
  </si>
  <si>
    <t>KGPI</t>
  </si>
  <si>
    <t>KCTB</t>
  </si>
  <si>
    <t>KYKM</t>
  </si>
  <si>
    <t>KSMP</t>
  </si>
  <si>
    <t>KEAT</t>
  </si>
  <si>
    <t>KEPH</t>
  </si>
  <si>
    <t>KMWH</t>
  </si>
  <si>
    <t>KLWS</t>
  </si>
  <si>
    <t>KHMS</t>
  </si>
  <si>
    <t>KPSC</t>
  </si>
  <si>
    <t>KALW</t>
  </si>
  <si>
    <t>KGEG</t>
  </si>
  <si>
    <t>KDEW</t>
  </si>
  <si>
    <t>KSKA</t>
  </si>
  <si>
    <t>KSFF</t>
  </si>
  <si>
    <t>KPUW</t>
  </si>
  <si>
    <t>KELN</t>
  </si>
  <si>
    <t>KCLM</t>
  </si>
  <si>
    <t>KOMK</t>
  </si>
  <si>
    <t>KAST</t>
  </si>
  <si>
    <t>KVUO</t>
  </si>
  <si>
    <t>KOLM</t>
  </si>
  <si>
    <t>KHQM</t>
  </si>
  <si>
    <t>KSHN</t>
  </si>
  <si>
    <t>KSEA</t>
  </si>
  <si>
    <t>KRNT</t>
  </si>
  <si>
    <t>KBFI</t>
  </si>
  <si>
    <t>KPAE</t>
  </si>
  <si>
    <t>KTIW</t>
  </si>
  <si>
    <t>KRLD</t>
  </si>
  <si>
    <t>KUIL</t>
  </si>
  <si>
    <t>KBLI</t>
  </si>
  <si>
    <t>KFHR</t>
  </si>
  <si>
    <t>KFWN</t>
  </si>
  <si>
    <t>KDPG</t>
  </si>
  <si>
    <t>KTCM</t>
  </si>
  <si>
    <t>KGRF</t>
  </si>
  <si>
    <t>KDEQ</t>
  </si>
  <si>
    <t>KGTB</t>
  </si>
  <si>
    <t>KNHZ</t>
  </si>
  <si>
    <t>KMHT</t>
  </si>
  <si>
    <t>KASH</t>
  </si>
  <si>
    <t>KPSF</t>
  </si>
  <si>
    <t>KARR</t>
  </si>
  <si>
    <t>KPWK</t>
  </si>
  <si>
    <t>KJFK</t>
  </si>
  <si>
    <t>KFRG</t>
  </si>
  <si>
    <t>KFOK</t>
  </si>
  <si>
    <t>KLWM</t>
  </si>
  <si>
    <t>KAYE</t>
  </si>
  <si>
    <t>KMQE</t>
  </si>
  <si>
    <t>KCEF</t>
  </si>
  <si>
    <t>KBAF</t>
  </si>
  <si>
    <t>KDKK</t>
  </si>
  <si>
    <t>KMAE</t>
  </si>
  <si>
    <t>KOVE</t>
  </si>
  <si>
    <t>KRNM</t>
  </si>
  <si>
    <t>KWVI</t>
  </si>
  <si>
    <t>KNGZ</t>
  </si>
  <si>
    <t>KNUQ</t>
  </si>
  <si>
    <t>KSUU</t>
  </si>
  <si>
    <t>KAFF</t>
  </si>
  <si>
    <t>KFFO</t>
  </si>
  <si>
    <t>KADW</t>
  </si>
  <si>
    <t>KOXB</t>
  </si>
  <si>
    <t>KLFI</t>
  </si>
  <si>
    <t>KBYS</t>
  </si>
  <si>
    <t>KNID</t>
  </si>
  <si>
    <t>KINS</t>
  </si>
  <si>
    <t>KP70</t>
  </si>
  <si>
    <t>K4MR</t>
  </si>
  <si>
    <t>KWWR</t>
  </si>
  <si>
    <t>KHOP</t>
  </si>
  <si>
    <t>KBWG</t>
  </si>
  <si>
    <t>KFBG</t>
  </si>
  <si>
    <t>KIGX</t>
  </si>
  <si>
    <t>KECG</t>
  </si>
  <si>
    <t>IDEM 941</t>
  </si>
  <si>
    <t>KNLC</t>
  </si>
  <si>
    <t>KIPL</t>
  </si>
  <si>
    <t>KCZZ</t>
  </si>
  <si>
    <t>KTRM</t>
  </si>
  <si>
    <t>KBLH</t>
  </si>
  <si>
    <t>KGBN</t>
  </si>
  <si>
    <t>KHMN</t>
  </si>
  <si>
    <t>KE28</t>
  </si>
  <si>
    <t>KJCT</t>
  </si>
  <si>
    <t>KAEX</t>
  </si>
  <si>
    <t>KGPT</t>
  </si>
  <si>
    <t>KBIX</t>
  </si>
  <si>
    <t>KPQL</t>
  </si>
  <si>
    <t>KPAM</t>
  </si>
  <si>
    <t>KHRT</t>
  </si>
  <si>
    <t>KSVN</t>
  </si>
  <si>
    <t>KVAD</t>
  </si>
  <si>
    <t>KMCF</t>
  </si>
  <si>
    <t>KSSC</t>
  </si>
  <si>
    <t>KMYR</t>
  </si>
  <si>
    <t>KCRE</t>
  </si>
  <si>
    <t>KXMR</t>
  </si>
  <si>
    <t>KTTS</t>
  </si>
  <si>
    <t>KCOF</t>
  </si>
  <si>
    <t>KAGR</t>
  </si>
  <si>
    <t>PMDY</t>
  </si>
  <si>
    <t>PHBK</t>
  </si>
  <si>
    <t>PHLI</t>
  </si>
  <si>
    <t>PHHI</t>
  </si>
  <si>
    <t>PHNG</t>
  </si>
  <si>
    <t>PHJR</t>
  </si>
  <si>
    <t>PHNL</t>
  </si>
  <si>
    <t>PHMK</t>
  </si>
  <si>
    <t>PHOG</t>
  </si>
  <si>
    <t>PHMY</t>
  </si>
  <si>
    <t>PHKO</t>
  </si>
  <si>
    <t>PHMU</t>
  </si>
  <si>
    <t>PHSF</t>
  </si>
  <si>
    <t>PHTO</t>
  </si>
  <si>
    <t>Picture</t>
  </si>
  <si>
    <t>IDEM 726221</t>
  </si>
  <si>
    <t>IDEM 726460</t>
  </si>
  <si>
    <t>IDEM 726070</t>
  </si>
  <si>
    <t>IDEM 725745</t>
  </si>
  <si>
    <t>IDEM 725740</t>
  </si>
  <si>
    <t>IDEM 725915</t>
  </si>
  <si>
    <t>IDEM 725110</t>
  </si>
  <si>
    <t>IDEM 724370</t>
  </si>
  <si>
    <t>IDEM 723783</t>
  </si>
  <si>
    <t>IDEM 060</t>
  </si>
  <si>
    <t>IDEM 722221</t>
  </si>
  <si>
    <t>IDEM 722420</t>
  </si>
  <si>
    <t>KATT</t>
  </si>
  <si>
    <t>KFDX</t>
  </si>
  <si>
    <t>K13A</t>
  </si>
  <si>
    <t>LXV</t>
  </si>
  <si>
    <t>KHBG</t>
  </si>
  <si>
    <t>KDVL</t>
  </si>
  <si>
    <t>KUCC</t>
  </si>
  <si>
    <t>K1Z6</t>
  </si>
  <si>
    <t>iDEM 747946</t>
  </si>
  <si>
    <t>IDEM 722540</t>
  </si>
  <si>
    <t>IDEM KNXP</t>
  </si>
  <si>
    <t>IDEM 723139</t>
  </si>
  <si>
    <t>IDEM 690170</t>
  </si>
  <si>
    <t>IDEM 691334</t>
  </si>
  <si>
    <t>N</t>
  </si>
  <si>
    <t>NE</t>
  </si>
  <si>
    <t>E</t>
  </si>
  <si>
    <t>SE</t>
  </si>
  <si>
    <t>S</t>
  </si>
  <si>
    <t>SW</t>
  </si>
  <si>
    <t>W</t>
  </si>
  <si>
    <t>NW</t>
  </si>
  <si>
    <t>Anemometer Located?</t>
  </si>
  <si>
    <t>Radius</t>
  </si>
  <si>
    <t>Total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</si>
</sst>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35" borderId="0" xfId="0" applyFill="1"/>
    <xf numFmtId="0" fontId="0" fillId="0" borderId="0" xfId="0"/>
    <xf numFmtId="16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0" fontId="16" fillId="0" borderId="0" xfId="0" applyFont="1" applyAlignment="1">
      <alignment horizontal="center"/>
    </xf>
    <xf numFmtId="0" fontId="16" fillId="0" borderId="0" xfId="0" applyFon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6"/>
  <sheetViews>
    <sheetView topLeftCell="A121" workbookViewId="0">
      <selection activeCell="I30" sqref="I30"/>
    </sheetView>
  </sheetViews>
  <sheetFormatPr defaultColWidth="9.140625" defaultRowHeight="15" x14ac:dyDescent="0.25"/>
  <cols>
    <col min="1" max="1" width="14.85546875" customWidth="1"/>
    <col min="2" max="2" width="10.7109375" customWidth="1"/>
    <col min="3" max="3" width="15.140625" customWidth="1"/>
  </cols>
  <sheetData>
    <row r="1" spans="1:3" x14ac:dyDescent="0.25">
      <c r="A1" t="s">
        <v>1184</v>
      </c>
      <c r="B1" t="s">
        <v>1185</v>
      </c>
      <c r="C1" t="s">
        <v>1186</v>
      </c>
    </row>
    <row r="2" spans="1:3" x14ac:dyDescent="0.25">
      <c r="A2" t="s">
        <v>0</v>
      </c>
      <c r="B2">
        <v>34.683</v>
      </c>
      <c r="C2">
        <v>-86.683000000000007</v>
      </c>
    </row>
    <row r="3" spans="1:3" x14ac:dyDescent="0.25">
      <c r="A3" t="s">
        <v>1</v>
      </c>
      <c r="B3">
        <v>31.042999999999999</v>
      </c>
      <c r="C3">
        <v>-86.311999999999998</v>
      </c>
    </row>
    <row r="4" spans="1:3" x14ac:dyDescent="0.25">
      <c r="A4" t="s">
        <v>2</v>
      </c>
      <c r="B4">
        <v>31.846</v>
      </c>
      <c r="C4">
        <v>-86.611000000000004</v>
      </c>
    </row>
    <row r="5" spans="1:3" x14ac:dyDescent="0.25">
      <c r="A5" t="s">
        <v>3</v>
      </c>
      <c r="B5">
        <v>31.951000000000001</v>
      </c>
      <c r="C5">
        <v>-85.129000000000005</v>
      </c>
    </row>
    <row r="6" spans="1:3" x14ac:dyDescent="0.25">
      <c r="A6" t="s">
        <v>4</v>
      </c>
      <c r="B6">
        <v>34.268999999999998</v>
      </c>
      <c r="C6">
        <v>-86.858000000000004</v>
      </c>
    </row>
    <row r="7" spans="1:3" x14ac:dyDescent="0.25">
      <c r="A7" t="s">
        <v>5</v>
      </c>
      <c r="B7">
        <v>30.687999999999999</v>
      </c>
      <c r="C7">
        <v>-88.245999999999995</v>
      </c>
    </row>
    <row r="8" spans="1:3" x14ac:dyDescent="0.25">
      <c r="A8" t="s">
        <v>6</v>
      </c>
      <c r="B8">
        <v>30.626000000000001</v>
      </c>
      <c r="C8">
        <v>-88.067999999999998</v>
      </c>
    </row>
    <row r="9" spans="1:3" x14ac:dyDescent="0.25">
      <c r="A9" t="s">
        <v>7</v>
      </c>
      <c r="B9">
        <v>31.346</v>
      </c>
      <c r="C9">
        <v>-85.653999999999996</v>
      </c>
    </row>
    <row r="10" spans="1:3" x14ac:dyDescent="0.25">
      <c r="A10" t="s">
        <v>8</v>
      </c>
      <c r="B10">
        <v>31.356000000000002</v>
      </c>
      <c r="C10">
        <v>-85.751000000000005</v>
      </c>
    </row>
    <row r="11" spans="1:3" x14ac:dyDescent="0.25">
      <c r="A11" t="s">
        <v>9</v>
      </c>
      <c r="B11">
        <v>32.301000000000002</v>
      </c>
      <c r="C11">
        <v>-86.394000000000005</v>
      </c>
    </row>
    <row r="12" spans="1:3" x14ac:dyDescent="0.25">
      <c r="A12" t="s">
        <v>10</v>
      </c>
      <c r="B12">
        <v>32.378999999999998</v>
      </c>
      <c r="C12">
        <v>-86.363</v>
      </c>
    </row>
    <row r="13" spans="1:3" x14ac:dyDescent="0.25">
      <c r="A13" t="s">
        <v>11</v>
      </c>
      <c r="B13">
        <v>32.35</v>
      </c>
      <c r="C13">
        <v>-86.983000000000004</v>
      </c>
    </row>
    <row r="14" spans="1:3" x14ac:dyDescent="0.25">
      <c r="A14" t="s">
        <v>12</v>
      </c>
      <c r="B14">
        <v>31.861000000000001</v>
      </c>
      <c r="C14">
        <v>-86.012</v>
      </c>
    </row>
    <row r="15" spans="1:3" x14ac:dyDescent="0.25">
      <c r="A15" t="s">
        <v>13</v>
      </c>
      <c r="B15">
        <v>31.321000000000002</v>
      </c>
      <c r="C15">
        <v>-85.45</v>
      </c>
    </row>
    <row r="16" spans="1:3" x14ac:dyDescent="0.25">
      <c r="A16" t="s">
        <v>14</v>
      </c>
      <c r="B16">
        <v>31.277999999999999</v>
      </c>
      <c r="C16">
        <v>-85.712999999999994</v>
      </c>
    </row>
    <row r="17" spans="1:3" x14ac:dyDescent="0.25">
      <c r="A17" t="s">
        <v>15</v>
      </c>
      <c r="B17">
        <v>31.309000000000001</v>
      </c>
      <c r="C17">
        <v>-86.394000000000005</v>
      </c>
    </row>
    <row r="18" spans="1:3" x14ac:dyDescent="0.25">
      <c r="A18" t="s">
        <v>16</v>
      </c>
      <c r="B18">
        <v>31.416</v>
      </c>
      <c r="C18">
        <v>-87.043999999999997</v>
      </c>
    </row>
    <row r="19" spans="1:3" x14ac:dyDescent="0.25">
      <c r="A19" t="s">
        <v>17</v>
      </c>
      <c r="B19">
        <v>34.652999999999999</v>
      </c>
      <c r="C19">
        <v>-86.944999999999993</v>
      </c>
    </row>
    <row r="20" spans="1:3" x14ac:dyDescent="0.25">
      <c r="A20" t="s">
        <v>18</v>
      </c>
      <c r="B20">
        <v>33.564</v>
      </c>
      <c r="C20">
        <v>-86.754000000000005</v>
      </c>
    </row>
    <row r="21" spans="1:3" x14ac:dyDescent="0.25">
      <c r="A21" t="s">
        <v>19</v>
      </c>
      <c r="B21">
        <v>33.212000000000003</v>
      </c>
      <c r="C21">
        <v>-87.616</v>
      </c>
    </row>
    <row r="22" spans="1:3" x14ac:dyDescent="0.25">
      <c r="A22" t="s">
        <v>20</v>
      </c>
      <c r="B22">
        <v>33.588000000000001</v>
      </c>
      <c r="C22">
        <v>-85.858000000000004</v>
      </c>
    </row>
    <row r="23" spans="1:3" x14ac:dyDescent="0.25">
      <c r="A23" t="s">
        <v>21</v>
      </c>
      <c r="B23">
        <v>33.177999999999997</v>
      </c>
      <c r="C23">
        <v>-86.781999999999996</v>
      </c>
    </row>
    <row r="24" spans="1:3" x14ac:dyDescent="0.25">
      <c r="A24" t="s">
        <v>22</v>
      </c>
      <c r="B24">
        <v>34.643999999999998</v>
      </c>
      <c r="C24">
        <v>-86.786000000000001</v>
      </c>
    </row>
    <row r="25" spans="1:3" x14ac:dyDescent="0.25">
      <c r="A25" t="s">
        <v>23</v>
      </c>
      <c r="B25">
        <v>34.679000000000002</v>
      </c>
      <c r="C25">
        <v>-86.685000000000002</v>
      </c>
    </row>
    <row r="26" spans="1:3" x14ac:dyDescent="0.25">
      <c r="A26" t="s">
        <v>24</v>
      </c>
      <c r="B26">
        <v>34.744999999999997</v>
      </c>
      <c r="C26">
        <v>-87.61</v>
      </c>
    </row>
    <row r="27" spans="1:3" x14ac:dyDescent="0.25">
      <c r="A27" t="s">
        <v>25</v>
      </c>
      <c r="B27">
        <v>35.633000000000003</v>
      </c>
      <c r="C27">
        <v>-91.167000000000002</v>
      </c>
    </row>
    <row r="28" spans="1:3" x14ac:dyDescent="0.25">
      <c r="A28" t="s">
        <v>26</v>
      </c>
      <c r="B28">
        <v>35.134999999999998</v>
      </c>
      <c r="C28">
        <v>-90.233999999999995</v>
      </c>
    </row>
    <row r="29" spans="1:3" x14ac:dyDescent="0.25">
      <c r="A29" t="s">
        <v>27</v>
      </c>
      <c r="B29">
        <v>35.212000000000003</v>
      </c>
      <c r="C29">
        <v>-91.736999999999995</v>
      </c>
    </row>
    <row r="30" spans="1:3" x14ac:dyDescent="0.25">
      <c r="A30" t="s">
        <v>28</v>
      </c>
      <c r="B30">
        <v>34.832999999999998</v>
      </c>
      <c r="C30">
        <v>-92.25</v>
      </c>
    </row>
    <row r="31" spans="1:3" x14ac:dyDescent="0.25">
      <c r="A31" t="s">
        <v>29</v>
      </c>
      <c r="B31">
        <v>34.747</v>
      </c>
      <c r="C31">
        <v>-92.233000000000004</v>
      </c>
    </row>
    <row r="32" spans="1:3" x14ac:dyDescent="0.25">
      <c r="A32" t="s">
        <v>30</v>
      </c>
      <c r="B32">
        <v>34.747</v>
      </c>
      <c r="C32">
        <v>-92.233000000000004</v>
      </c>
    </row>
    <row r="33" spans="1:3" x14ac:dyDescent="0.25">
      <c r="A33" t="s">
        <v>31</v>
      </c>
      <c r="B33">
        <v>34.915999999999997</v>
      </c>
      <c r="C33">
        <v>-92.146000000000001</v>
      </c>
    </row>
    <row r="34" spans="1:3" x14ac:dyDescent="0.25">
      <c r="A34" t="s">
        <v>32</v>
      </c>
      <c r="B34">
        <v>35.831000000000003</v>
      </c>
      <c r="C34">
        <v>-90.646000000000001</v>
      </c>
    </row>
    <row r="35" spans="1:3" x14ac:dyDescent="0.25">
      <c r="A35" t="s">
        <v>33</v>
      </c>
      <c r="B35">
        <v>35.963999999999999</v>
      </c>
      <c r="C35">
        <v>-89.942999999999998</v>
      </c>
    </row>
    <row r="36" spans="1:3" x14ac:dyDescent="0.25">
      <c r="A36" t="s">
        <v>34</v>
      </c>
      <c r="B36">
        <v>35.94</v>
      </c>
      <c r="C36">
        <v>-89.831000000000003</v>
      </c>
    </row>
    <row r="37" spans="1:3" x14ac:dyDescent="0.25">
      <c r="A37" t="s">
        <v>35</v>
      </c>
      <c r="B37">
        <v>34.478000000000002</v>
      </c>
      <c r="C37">
        <v>-93.096000000000004</v>
      </c>
    </row>
    <row r="38" spans="1:3" x14ac:dyDescent="0.25">
      <c r="A38" t="s">
        <v>36</v>
      </c>
      <c r="B38">
        <v>34.174999999999997</v>
      </c>
      <c r="C38">
        <v>-91.935000000000002</v>
      </c>
    </row>
    <row r="39" spans="1:3" x14ac:dyDescent="0.25">
      <c r="A39" t="s">
        <v>37</v>
      </c>
      <c r="B39">
        <v>33.454000000000001</v>
      </c>
      <c r="C39">
        <v>-94.007999999999996</v>
      </c>
    </row>
    <row r="40" spans="1:3" x14ac:dyDescent="0.25">
      <c r="A40" t="s">
        <v>38</v>
      </c>
      <c r="B40">
        <v>33.220999999999997</v>
      </c>
      <c r="C40">
        <v>-92.813000000000002</v>
      </c>
    </row>
    <row r="41" spans="1:3" x14ac:dyDescent="0.25">
      <c r="A41" t="s">
        <v>39</v>
      </c>
      <c r="B41">
        <v>33.637999999999998</v>
      </c>
      <c r="C41">
        <v>-91.751000000000005</v>
      </c>
    </row>
    <row r="42" spans="1:3" x14ac:dyDescent="0.25">
      <c r="A42" t="s">
        <v>40</v>
      </c>
      <c r="B42">
        <v>35.258000000000003</v>
      </c>
      <c r="C42">
        <v>-93.094999999999999</v>
      </c>
    </row>
    <row r="43" spans="1:3" x14ac:dyDescent="0.25">
      <c r="A43" t="s">
        <v>41</v>
      </c>
      <c r="B43">
        <v>36.176000000000002</v>
      </c>
      <c r="C43">
        <v>-94.117000000000004</v>
      </c>
    </row>
    <row r="44" spans="1:3" x14ac:dyDescent="0.25">
      <c r="A44" t="s">
        <v>42</v>
      </c>
      <c r="B44">
        <v>34.549999999999997</v>
      </c>
      <c r="C44">
        <v>-93.582999999999998</v>
      </c>
    </row>
    <row r="45" spans="1:3" x14ac:dyDescent="0.25">
      <c r="A45" t="s">
        <v>43</v>
      </c>
      <c r="B45">
        <v>36.281999999999996</v>
      </c>
      <c r="C45">
        <v>-94.307000000000002</v>
      </c>
    </row>
    <row r="46" spans="1:3" x14ac:dyDescent="0.25">
      <c r="A46" t="s">
        <v>44</v>
      </c>
      <c r="B46">
        <v>35.334000000000003</v>
      </c>
      <c r="C46">
        <v>-94.364999999999995</v>
      </c>
    </row>
    <row r="47" spans="1:3" x14ac:dyDescent="0.25">
      <c r="A47" t="s">
        <v>45</v>
      </c>
      <c r="B47">
        <v>36.005000000000003</v>
      </c>
      <c r="C47">
        <v>-94.17</v>
      </c>
    </row>
    <row r="48" spans="1:3" x14ac:dyDescent="0.25">
      <c r="A48" t="s">
        <v>46</v>
      </c>
      <c r="B48">
        <v>36.261000000000003</v>
      </c>
      <c r="C48">
        <v>-93.155000000000001</v>
      </c>
    </row>
    <row r="49" spans="1:3" x14ac:dyDescent="0.25">
      <c r="A49" t="s">
        <v>47</v>
      </c>
      <c r="B49">
        <v>36.372</v>
      </c>
      <c r="C49">
        <v>-94.100999999999999</v>
      </c>
    </row>
    <row r="50" spans="1:3" x14ac:dyDescent="0.25">
      <c r="A50" t="s">
        <v>48</v>
      </c>
      <c r="B50">
        <v>34.046999999999997</v>
      </c>
      <c r="C50">
        <v>-94.399000000000001</v>
      </c>
    </row>
    <row r="51" spans="1:3" x14ac:dyDescent="0.25">
      <c r="A51" t="s">
        <v>49</v>
      </c>
      <c r="B51">
        <v>33.866999999999997</v>
      </c>
      <c r="C51">
        <v>-114.383</v>
      </c>
    </row>
    <row r="52" spans="1:3" x14ac:dyDescent="0.25">
      <c r="A52" t="s">
        <v>50</v>
      </c>
      <c r="B52">
        <v>32.65</v>
      </c>
      <c r="C52">
        <v>-114.617</v>
      </c>
    </row>
    <row r="53" spans="1:3" x14ac:dyDescent="0.25">
      <c r="A53" t="s">
        <v>51</v>
      </c>
      <c r="B53">
        <v>35.503999999999998</v>
      </c>
      <c r="C53">
        <v>-111.346</v>
      </c>
    </row>
    <row r="54" spans="1:3" x14ac:dyDescent="0.25">
      <c r="A54" t="s">
        <v>52</v>
      </c>
      <c r="B54">
        <v>32.636000000000003</v>
      </c>
      <c r="C54">
        <v>-108.151</v>
      </c>
    </row>
    <row r="55" spans="1:3" x14ac:dyDescent="0.25">
      <c r="A55" t="s">
        <v>53</v>
      </c>
      <c r="B55">
        <v>33.237000000000002</v>
      </c>
      <c r="C55">
        <v>-107.268</v>
      </c>
    </row>
    <row r="56" spans="1:3" x14ac:dyDescent="0.25">
      <c r="A56" t="s">
        <v>54</v>
      </c>
      <c r="B56">
        <v>31.420999999999999</v>
      </c>
      <c r="C56">
        <v>-110.846</v>
      </c>
    </row>
    <row r="57" spans="1:3" x14ac:dyDescent="0.25">
      <c r="A57" t="s">
        <v>55</v>
      </c>
      <c r="B57">
        <v>31.588000000000001</v>
      </c>
      <c r="C57">
        <v>-110.34399999999999</v>
      </c>
    </row>
    <row r="58" spans="1:3" x14ac:dyDescent="0.25">
      <c r="A58" t="s">
        <v>56</v>
      </c>
      <c r="B58">
        <v>31.469000000000001</v>
      </c>
      <c r="C58">
        <v>-109.604</v>
      </c>
    </row>
    <row r="59" spans="1:3" x14ac:dyDescent="0.25">
      <c r="A59" t="s">
        <v>57</v>
      </c>
      <c r="B59">
        <v>32.131</v>
      </c>
      <c r="C59">
        <v>-110.955</v>
      </c>
    </row>
    <row r="60" spans="1:3" x14ac:dyDescent="0.25">
      <c r="A60" t="s">
        <v>58</v>
      </c>
      <c r="B60">
        <v>32.165999999999997</v>
      </c>
      <c r="C60">
        <v>-110.883</v>
      </c>
    </row>
    <row r="61" spans="1:3" x14ac:dyDescent="0.25">
      <c r="A61" t="s">
        <v>59</v>
      </c>
      <c r="B61">
        <v>32.854999999999997</v>
      </c>
      <c r="C61">
        <v>-109.63500000000001</v>
      </c>
    </row>
    <row r="62" spans="1:3" x14ac:dyDescent="0.25">
      <c r="A62" t="s">
        <v>60</v>
      </c>
      <c r="B62">
        <v>35.658000000000001</v>
      </c>
      <c r="C62">
        <v>-109.06100000000001</v>
      </c>
    </row>
    <row r="63" spans="1:3" x14ac:dyDescent="0.25">
      <c r="A63" t="s">
        <v>61</v>
      </c>
      <c r="B63">
        <v>33.442999999999998</v>
      </c>
      <c r="C63">
        <v>-111.99</v>
      </c>
    </row>
    <row r="64" spans="1:3" x14ac:dyDescent="0.25">
      <c r="A64" t="s">
        <v>62</v>
      </c>
      <c r="B64">
        <v>33.688000000000002</v>
      </c>
      <c r="C64">
        <v>-112.08199999999999</v>
      </c>
    </row>
    <row r="65" spans="1:3" x14ac:dyDescent="0.25">
      <c r="A65" t="s">
        <v>63</v>
      </c>
      <c r="B65">
        <v>33.534999999999997</v>
      </c>
      <c r="C65">
        <v>-112.383</v>
      </c>
    </row>
    <row r="66" spans="1:3" x14ac:dyDescent="0.25">
      <c r="A66" t="s">
        <v>64</v>
      </c>
      <c r="B66">
        <v>33.308</v>
      </c>
      <c r="C66">
        <v>-111.65</v>
      </c>
    </row>
    <row r="67" spans="1:3" x14ac:dyDescent="0.25">
      <c r="A67" t="s">
        <v>65</v>
      </c>
      <c r="B67">
        <v>33.622999999999998</v>
      </c>
      <c r="C67">
        <v>-111.911</v>
      </c>
    </row>
    <row r="68" spans="1:3" x14ac:dyDescent="0.25">
      <c r="A68" t="s">
        <v>66</v>
      </c>
      <c r="B68">
        <v>32.656999999999996</v>
      </c>
      <c r="C68">
        <v>-114.60599999999999</v>
      </c>
    </row>
    <row r="69" spans="1:3" x14ac:dyDescent="0.25">
      <c r="A69" t="s">
        <v>67</v>
      </c>
      <c r="B69">
        <v>32.65</v>
      </c>
      <c r="C69">
        <v>-114.617</v>
      </c>
    </row>
    <row r="70" spans="1:3" x14ac:dyDescent="0.25">
      <c r="A70" t="s">
        <v>68</v>
      </c>
      <c r="B70">
        <v>31.606999999999999</v>
      </c>
      <c r="C70">
        <v>-110.428</v>
      </c>
    </row>
    <row r="71" spans="1:3" x14ac:dyDescent="0.25">
      <c r="A71" t="s">
        <v>69</v>
      </c>
      <c r="B71">
        <v>35.259</v>
      </c>
      <c r="C71">
        <v>-113.937</v>
      </c>
    </row>
    <row r="72" spans="1:3" x14ac:dyDescent="0.25">
      <c r="A72" t="s">
        <v>70</v>
      </c>
      <c r="B72">
        <v>36.926000000000002</v>
      </c>
      <c r="C72">
        <v>-111.44799999999999</v>
      </c>
    </row>
    <row r="73" spans="1:3" x14ac:dyDescent="0.25">
      <c r="A73" t="s">
        <v>71</v>
      </c>
      <c r="B73">
        <v>34.652000000000001</v>
      </c>
      <c r="C73">
        <v>-112.42100000000001</v>
      </c>
    </row>
    <row r="74" spans="1:3" x14ac:dyDescent="0.25">
      <c r="A74" t="s">
        <v>72</v>
      </c>
      <c r="B74">
        <v>34.652000000000001</v>
      </c>
      <c r="C74">
        <v>-112.42100000000001</v>
      </c>
    </row>
    <row r="75" spans="1:3" x14ac:dyDescent="0.25">
      <c r="A75" t="s">
        <v>73</v>
      </c>
      <c r="B75">
        <v>35.021999999999998</v>
      </c>
      <c r="C75">
        <v>-110.72199999999999</v>
      </c>
    </row>
    <row r="76" spans="1:3" x14ac:dyDescent="0.25">
      <c r="A76" t="s">
        <v>74</v>
      </c>
      <c r="B76">
        <v>34.265000000000001</v>
      </c>
      <c r="C76">
        <v>-110.006</v>
      </c>
    </row>
    <row r="77" spans="1:3" x14ac:dyDescent="0.25">
      <c r="A77" t="s">
        <v>75</v>
      </c>
      <c r="B77">
        <v>35.14</v>
      </c>
      <c r="C77">
        <v>-111.672</v>
      </c>
    </row>
    <row r="78" spans="1:3" x14ac:dyDescent="0.25">
      <c r="A78" t="s">
        <v>76</v>
      </c>
      <c r="B78">
        <v>34.518000000000001</v>
      </c>
      <c r="C78">
        <v>-109.379</v>
      </c>
    </row>
    <row r="79" spans="1:3" x14ac:dyDescent="0.25">
      <c r="A79" t="s">
        <v>77</v>
      </c>
      <c r="B79">
        <v>35.14</v>
      </c>
      <c r="C79">
        <v>-111.672</v>
      </c>
    </row>
    <row r="80" spans="1:3" x14ac:dyDescent="0.25">
      <c r="A80" t="s">
        <v>78</v>
      </c>
      <c r="B80">
        <v>35.950000000000003</v>
      </c>
      <c r="C80">
        <v>-112.15</v>
      </c>
    </row>
    <row r="81" spans="1:3" x14ac:dyDescent="0.25">
      <c r="A81" t="s">
        <v>79</v>
      </c>
      <c r="B81">
        <v>35.945999999999998</v>
      </c>
      <c r="C81">
        <v>-112.155</v>
      </c>
    </row>
    <row r="82" spans="1:3" x14ac:dyDescent="0.25">
      <c r="A82" t="s">
        <v>80</v>
      </c>
      <c r="B82">
        <v>32.887999999999998</v>
      </c>
      <c r="C82">
        <v>-112.72</v>
      </c>
    </row>
    <row r="83" spans="1:3" x14ac:dyDescent="0.25">
      <c r="A83" t="s">
        <v>81</v>
      </c>
      <c r="B83">
        <v>36</v>
      </c>
      <c r="C83">
        <v>-121.233</v>
      </c>
    </row>
    <row r="84" spans="1:3" x14ac:dyDescent="0.25">
      <c r="A84" t="s">
        <v>82</v>
      </c>
      <c r="B84">
        <v>36.683</v>
      </c>
      <c r="C84">
        <v>-121.767</v>
      </c>
    </row>
    <row r="85" spans="1:3" x14ac:dyDescent="0.25">
      <c r="A85" t="s">
        <v>83</v>
      </c>
      <c r="B85">
        <v>33.676000000000002</v>
      </c>
      <c r="C85">
        <v>-117.73099999999999</v>
      </c>
    </row>
    <row r="86" spans="1:3" x14ac:dyDescent="0.25">
      <c r="A86" t="s">
        <v>84</v>
      </c>
      <c r="B86">
        <v>34.299999999999997</v>
      </c>
      <c r="C86">
        <v>-116.167</v>
      </c>
    </row>
    <row r="87" spans="1:3" x14ac:dyDescent="0.25">
      <c r="A87" t="s">
        <v>85</v>
      </c>
      <c r="B87">
        <v>34.6</v>
      </c>
      <c r="C87">
        <v>-117.383</v>
      </c>
    </row>
    <row r="88" spans="1:3" x14ac:dyDescent="0.25">
      <c r="A88" t="s">
        <v>86</v>
      </c>
      <c r="B88">
        <v>36.283000000000001</v>
      </c>
      <c r="C88">
        <v>-116.35</v>
      </c>
    </row>
    <row r="89" spans="1:3" x14ac:dyDescent="0.25">
      <c r="A89" t="s">
        <v>87</v>
      </c>
      <c r="B89">
        <v>34.299999999999997</v>
      </c>
      <c r="C89">
        <v>-116.15</v>
      </c>
    </row>
    <row r="90" spans="1:3" x14ac:dyDescent="0.25">
      <c r="A90" t="s">
        <v>88</v>
      </c>
      <c r="B90">
        <v>34.366999999999997</v>
      </c>
      <c r="C90">
        <v>-118.56699999999999</v>
      </c>
    </row>
    <row r="91" spans="1:3" x14ac:dyDescent="0.25">
      <c r="A91" t="s">
        <v>51</v>
      </c>
      <c r="B91">
        <v>35.503999999999998</v>
      </c>
      <c r="C91">
        <v>-111.346</v>
      </c>
    </row>
    <row r="92" spans="1:3" x14ac:dyDescent="0.25">
      <c r="A92" t="s">
        <v>89</v>
      </c>
      <c r="B92">
        <v>32.817</v>
      </c>
      <c r="C92">
        <v>-115.667</v>
      </c>
    </row>
    <row r="93" spans="1:3" x14ac:dyDescent="0.25">
      <c r="A93" t="s">
        <v>90</v>
      </c>
      <c r="B93">
        <v>33.881</v>
      </c>
      <c r="C93">
        <v>-117.259</v>
      </c>
    </row>
    <row r="94" spans="1:3" x14ac:dyDescent="0.25">
      <c r="A94" t="s">
        <v>91</v>
      </c>
      <c r="B94">
        <v>34.067</v>
      </c>
      <c r="C94">
        <v>-117.65</v>
      </c>
    </row>
    <row r="95" spans="1:3" x14ac:dyDescent="0.25">
      <c r="A95" t="s">
        <v>92</v>
      </c>
      <c r="B95">
        <v>34.082999999999998</v>
      </c>
      <c r="C95">
        <v>-117.233</v>
      </c>
    </row>
    <row r="96" spans="1:3" x14ac:dyDescent="0.25">
      <c r="A96" t="s">
        <v>93</v>
      </c>
      <c r="B96">
        <v>33.828000000000003</v>
      </c>
      <c r="C96">
        <v>-116.505</v>
      </c>
    </row>
    <row r="97" spans="1:3" x14ac:dyDescent="0.25">
      <c r="A97" t="s">
        <v>94</v>
      </c>
      <c r="B97">
        <v>33.951999999999998</v>
      </c>
      <c r="C97">
        <v>-117.43899999999999</v>
      </c>
    </row>
    <row r="98" spans="1:3" x14ac:dyDescent="0.25">
      <c r="A98" t="s">
        <v>95</v>
      </c>
      <c r="B98">
        <v>34.201000000000001</v>
      </c>
      <c r="C98">
        <v>-118.35899999999999</v>
      </c>
    </row>
    <row r="99" spans="1:3" x14ac:dyDescent="0.25">
      <c r="A99" t="s">
        <v>96</v>
      </c>
      <c r="B99">
        <v>34.015999999999998</v>
      </c>
      <c r="C99">
        <v>-118.45099999999999</v>
      </c>
    </row>
    <row r="100" spans="1:3" x14ac:dyDescent="0.25">
      <c r="A100" t="s">
        <v>97</v>
      </c>
      <c r="B100">
        <v>34.21</v>
      </c>
      <c r="C100">
        <v>-118.489</v>
      </c>
    </row>
    <row r="101" spans="1:3" x14ac:dyDescent="0.25">
      <c r="A101" t="s">
        <v>98</v>
      </c>
      <c r="B101">
        <v>35.237000000000002</v>
      </c>
      <c r="C101">
        <v>-120.64100000000001</v>
      </c>
    </row>
    <row r="102" spans="1:3" x14ac:dyDescent="0.25">
      <c r="A102" t="s">
        <v>99</v>
      </c>
      <c r="B102">
        <v>33.975000000000001</v>
      </c>
      <c r="C102">
        <v>-117.636</v>
      </c>
    </row>
    <row r="103" spans="1:3" x14ac:dyDescent="0.25">
      <c r="A103" t="s">
        <v>100</v>
      </c>
      <c r="B103">
        <v>32.734999999999999</v>
      </c>
      <c r="C103">
        <v>-117.169</v>
      </c>
    </row>
    <row r="104" spans="1:3" x14ac:dyDescent="0.25">
      <c r="A104" t="s">
        <v>101</v>
      </c>
      <c r="B104">
        <v>32.816000000000003</v>
      </c>
      <c r="C104">
        <v>-117.139</v>
      </c>
    </row>
    <row r="105" spans="1:3" x14ac:dyDescent="0.25">
      <c r="A105" t="s">
        <v>102</v>
      </c>
      <c r="B105">
        <v>32.572000000000003</v>
      </c>
      <c r="C105">
        <v>-116.979</v>
      </c>
    </row>
    <row r="106" spans="1:3" x14ac:dyDescent="0.25">
      <c r="A106" t="s">
        <v>103</v>
      </c>
      <c r="B106">
        <v>32.700000000000003</v>
      </c>
      <c r="C106">
        <v>-117.2</v>
      </c>
    </row>
    <row r="107" spans="1:3" x14ac:dyDescent="0.25">
      <c r="A107" t="s">
        <v>104</v>
      </c>
      <c r="B107">
        <v>33.667000000000002</v>
      </c>
      <c r="C107">
        <v>-117.733</v>
      </c>
    </row>
    <row r="108" spans="1:3" x14ac:dyDescent="0.25">
      <c r="A108" t="s">
        <v>105</v>
      </c>
      <c r="B108">
        <v>32.567</v>
      </c>
      <c r="C108">
        <v>-117.117</v>
      </c>
    </row>
    <row r="109" spans="1:3" x14ac:dyDescent="0.25">
      <c r="A109" t="s">
        <v>106</v>
      </c>
      <c r="B109">
        <v>33.24</v>
      </c>
      <c r="C109">
        <v>-119.458</v>
      </c>
    </row>
    <row r="110" spans="1:3" x14ac:dyDescent="0.25">
      <c r="A110" t="s">
        <v>107</v>
      </c>
      <c r="B110">
        <v>33.700000000000003</v>
      </c>
      <c r="C110">
        <v>-117.833</v>
      </c>
    </row>
    <row r="111" spans="1:3" x14ac:dyDescent="0.25">
      <c r="A111" t="s">
        <v>108</v>
      </c>
      <c r="B111">
        <v>33.405000000000001</v>
      </c>
      <c r="C111">
        <v>-118.416</v>
      </c>
    </row>
    <row r="112" spans="1:3" x14ac:dyDescent="0.25">
      <c r="A112" t="s">
        <v>109</v>
      </c>
      <c r="B112">
        <v>33.023000000000003</v>
      </c>
      <c r="C112">
        <v>-118.58799999999999</v>
      </c>
    </row>
    <row r="113" spans="1:3" x14ac:dyDescent="0.25">
      <c r="A113" t="s">
        <v>110</v>
      </c>
      <c r="B113">
        <v>33.299999999999997</v>
      </c>
      <c r="C113">
        <v>-117.35</v>
      </c>
    </row>
    <row r="114" spans="1:3" x14ac:dyDescent="0.25">
      <c r="A114" t="s">
        <v>111</v>
      </c>
      <c r="B114">
        <v>33.128</v>
      </c>
      <c r="C114">
        <v>-117.279</v>
      </c>
    </row>
    <row r="115" spans="1:3" x14ac:dyDescent="0.25">
      <c r="A115" t="s">
        <v>112</v>
      </c>
      <c r="B115">
        <v>33.286000000000001</v>
      </c>
      <c r="C115">
        <v>-117.456</v>
      </c>
    </row>
    <row r="116" spans="1:3" x14ac:dyDescent="0.25">
      <c r="A116" t="s">
        <v>113</v>
      </c>
      <c r="B116">
        <v>32.866999999999997</v>
      </c>
      <c r="C116">
        <v>-117.15</v>
      </c>
    </row>
    <row r="117" spans="1:3" x14ac:dyDescent="0.25">
      <c r="A117" t="s">
        <v>114</v>
      </c>
      <c r="B117">
        <v>32.866999999999997</v>
      </c>
      <c r="C117">
        <v>-117.15</v>
      </c>
    </row>
    <row r="118" spans="1:3" x14ac:dyDescent="0.25">
      <c r="A118" t="s">
        <v>115</v>
      </c>
      <c r="B118">
        <v>33.219000000000001</v>
      </c>
      <c r="C118">
        <v>-117.349</v>
      </c>
    </row>
    <row r="119" spans="1:3" x14ac:dyDescent="0.25">
      <c r="A119" t="s">
        <v>116</v>
      </c>
      <c r="B119">
        <v>33.938000000000002</v>
      </c>
      <c r="C119">
        <v>-118.40600000000001</v>
      </c>
    </row>
    <row r="120" spans="1:3" x14ac:dyDescent="0.25">
      <c r="A120" t="s">
        <v>117</v>
      </c>
      <c r="B120">
        <v>33.923000000000002</v>
      </c>
      <c r="C120">
        <v>-118.334</v>
      </c>
    </row>
    <row r="121" spans="1:3" x14ac:dyDescent="0.25">
      <c r="A121" t="s">
        <v>118</v>
      </c>
      <c r="B121">
        <v>33.828000000000003</v>
      </c>
      <c r="C121">
        <v>-118.163</v>
      </c>
    </row>
    <row r="122" spans="1:3" x14ac:dyDescent="0.25">
      <c r="A122" t="s">
        <v>119</v>
      </c>
      <c r="B122">
        <v>33.767000000000003</v>
      </c>
      <c r="C122">
        <v>-118.167</v>
      </c>
    </row>
    <row r="123" spans="1:3" x14ac:dyDescent="0.25">
      <c r="A123" t="s">
        <v>120</v>
      </c>
      <c r="B123">
        <v>33.79</v>
      </c>
      <c r="C123">
        <v>-118.05200000000001</v>
      </c>
    </row>
    <row r="124" spans="1:3" x14ac:dyDescent="0.25">
      <c r="A124" t="s">
        <v>121</v>
      </c>
      <c r="B124">
        <v>33.872</v>
      </c>
      <c r="C124">
        <v>-117.979</v>
      </c>
    </row>
    <row r="125" spans="1:3" x14ac:dyDescent="0.25">
      <c r="A125" t="s">
        <v>122</v>
      </c>
      <c r="B125">
        <v>33.68</v>
      </c>
      <c r="C125">
        <v>-117.866</v>
      </c>
    </row>
    <row r="126" spans="1:3" x14ac:dyDescent="0.25">
      <c r="A126" t="s">
        <v>123</v>
      </c>
      <c r="B126">
        <v>33.65</v>
      </c>
      <c r="C126">
        <v>-118</v>
      </c>
    </row>
    <row r="127" spans="1:3" x14ac:dyDescent="0.25">
      <c r="A127" t="s">
        <v>124</v>
      </c>
      <c r="B127">
        <v>34.988</v>
      </c>
      <c r="C127">
        <v>-117.86499999999999</v>
      </c>
    </row>
    <row r="128" spans="1:3" x14ac:dyDescent="0.25">
      <c r="A128" t="s">
        <v>125</v>
      </c>
      <c r="B128">
        <v>34.765999999999998</v>
      </c>
      <c r="C128">
        <v>-114.623</v>
      </c>
    </row>
    <row r="129" spans="1:3" x14ac:dyDescent="0.25">
      <c r="A129" t="s">
        <v>126</v>
      </c>
      <c r="B129">
        <v>34.905999999999999</v>
      </c>
      <c r="C129">
        <v>-117.884</v>
      </c>
    </row>
    <row r="130" spans="1:3" x14ac:dyDescent="0.25">
      <c r="A130" t="s">
        <v>127</v>
      </c>
      <c r="B130">
        <v>34.299999999999997</v>
      </c>
      <c r="C130">
        <v>-116.167</v>
      </c>
    </row>
    <row r="131" spans="1:3" x14ac:dyDescent="0.25">
      <c r="A131" t="s">
        <v>128</v>
      </c>
      <c r="B131">
        <v>34.853999999999999</v>
      </c>
      <c r="C131">
        <v>-116.78700000000001</v>
      </c>
    </row>
    <row r="132" spans="1:3" x14ac:dyDescent="0.25">
      <c r="A132" t="s">
        <v>129</v>
      </c>
      <c r="B132">
        <v>34.741</v>
      </c>
      <c r="C132">
        <v>-118.21899999999999</v>
      </c>
    </row>
    <row r="133" spans="1:3" x14ac:dyDescent="0.25">
      <c r="A133" t="s">
        <v>130</v>
      </c>
      <c r="B133">
        <v>34.628999999999998</v>
      </c>
      <c r="C133">
        <v>-118.084</v>
      </c>
    </row>
    <row r="134" spans="1:3" x14ac:dyDescent="0.25">
      <c r="A134" t="s">
        <v>131</v>
      </c>
      <c r="B134">
        <v>34.597999999999999</v>
      </c>
      <c r="C134">
        <v>-117.383</v>
      </c>
    </row>
    <row r="135" spans="1:3" x14ac:dyDescent="0.25">
      <c r="A135" t="s">
        <v>132</v>
      </c>
      <c r="B135">
        <v>34.744</v>
      </c>
      <c r="C135">
        <v>-118.724</v>
      </c>
    </row>
    <row r="136" spans="1:3" x14ac:dyDescent="0.25">
      <c r="A136" t="s">
        <v>133</v>
      </c>
      <c r="B136">
        <v>35.433999999999997</v>
      </c>
      <c r="C136">
        <v>-119.056</v>
      </c>
    </row>
    <row r="137" spans="1:3" x14ac:dyDescent="0.25">
      <c r="A137" t="s">
        <v>134</v>
      </c>
      <c r="B137">
        <v>35.283000000000001</v>
      </c>
      <c r="C137">
        <v>-116.617</v>
      </c>
    </row>
    <row r="138" spans="1:3" x14ac:dyDescent="0.25">
      <c r="A138" t="s">
        <v>135</v>
      </c>
      <c r="B138">
        <v>36.78</v>
      </c>
      <c r="C138">
        <v>-119.71899999999999</v>
      </c>
    </row>
    <row r="139" spans="1:3" x14ac:dyDescent="0.25">
      <c r="A139" t="s">
        <v>136</v>
      </c>
      <c r="B139">
        <v>37.457000000000001</v>
      </c>
      <c r="C139">
        <v>-118.83799999999999</v>
      </c>
    </row>
    <row r="140" spans="1:3" x14ac:dyDescent="0.25">
      <c r="A140" t="s">
        <v>137</v>
      </c>
      <c r="B140">
        <v>36.319000000000003</v>
      </c>
      <c r="C140">
        <v>-119.629</v>
      </c>
    </row>
    <row r="141" spans="1:3" x14ac:dyDescent="0.25">
      <c r="A141" t="s">
        <v>138</v>
      </c>
      <c r="B141">
        <v>35.665999999999997</v>
      </c>
      <c r="C141">
        <v>-121.285</v>
      </c>
    </row>
    <row r="142" spans="1:3" x14ac:dyDescent="0.25">
      <c r="A142" t="s">
        <v>139</v>
      </c>
      <c r="B142">
        <v>34.116999999999997</v>
      </c>
      <c r="C142">
        <v>-119.117</v>
      </c>
    </row>
    <row r="143" spans="1:3" x14ac:dyDescent="0.25">
      <c r="A143" t="s">
        <v>140</v>
      </c>
      <c r="B143">
        <v>34.426000000000002</v>
      </c>
      <c r="C143">
        <v>-119.84399999999999</v>
      </c>
    </row>
    <row r="144" spans="1:3" x14ac:dyDescent="0.25">
      <c r="A144" t="s">
        <v>141</v>
      </c>
      <c r="B144">
        <v>34.216999999999999</v>
      </c>
      <c r="C144">
        <v>-119.083</v>
      </c>
    </row>
    <row r="145" spans="1:3" x14ac:dyDescent="0.25">
      <c r="A145" t="s">
        <v>142</v>
      </c>
      <c r="B145">
        <v>34.201000000000001</v>
      </c>
      <c r="C145">
        <v>-119.206</v>
      </c>
    </row>
    <row r="146" spans="1:3" x14ac:dyDescent="0.25">
      <c r="A146" t="s">
        <v>143</v>
      </c>
      <c r="B146">
        <v>34.728999999999999</v>
      </c>
      <c r="C146">
        <v>-120.568</v>
      </c>
    </row>
    <row r="147" spans="1:3" x14ac:dyDescent="0.25">
      <c r="A147" t="s">
        <v>144</v>
      </c>
      <c r="B147">
        <v>34.716999999999999</v>
      </c>
      <c r="C147">
        <v>-120.56699999999999</v>
      </c>
    </row>
    <row r="148" spans="1:3" x14ac:dyDescent="0.25">
      <c r="A148" t="s">
        <v>145</v>
      </c>
      <c r="B148">
        <v>34.915999999999997</v>
      </c>
      <c r="C148">
        <v>-120.465</v>
      </c>
    </row>
    <row r="149" spans="1:3" x14ac:dyDescent="0.25">
      <c r="A149" t="s">
        <v>146</v>
      </c>
      <c r="B149">
        <v>35.673000000000002</v>
      </c>
      <c r="C149">
        <v>-120.627</v>
      </c>
    </row>
    <row r="150" spans="1:3" x14ac:dyDescent="0.25">
      <c r="A150" t="s">
        <v>147</v>
      </c>
      <c r="B150">
        <v>37.372999999999998</v>
      </c>
      <c r="C150">
        <v>-118.363</v>
      </c>
    </row>
    <row r="151" spans="1:3" x14ac:dyDescent="0.25">
      <c r="A151" t="s">
        <v>148</v>
      </c>
      <c r="B151">
        <v>37.366999999999997</v>
      </c>
      <c r="C151">
        <v>-120.56699999999999</v>
      </c>
    </row>
    <row r="152" spans="1:3" x14ac:dyDescent="0.25">
      <c r="A152" t="s">
        <v>149</v>
      </c>
      <c r="B152">
        <v>37.284999999999997</v>
      </c>
      <c r="C152">
        <v>-120.51300000000001</v>
      </c>
    </row>
    <row r="153" spans="1:3" x14ac:dyDescent="0.25">
      <c r="A153" t="s">
        <v>150</v>
      </c>
      <c r="B153">
        <v>38.377000000000002</v>
      </c>
      <c r="C153">
        <v>-121.961</v>
      </c>
    </row>
    <row r="154" spans="1:3" x14ac:dyDescent="0.25">
      <c r="A154" t="s">
        <v>151</v>
      </c>
      <c r="B154">
        <v>38.512999999999998</v>
      </c>
      <c r="C154">
        <v>-121.49299999999999</v>
      </c>
    </row>
    <row r="155" spans="1:3" x14ac:dyDescent="0.25">
      <c r="A155" t="s">
        <v>152</v>
      </c>
      <c r="B155">
        <v>38.554000000000002</v>
      </c>
      <c r="C155">
        <v>-121.285</v>
      </c>
    </row>
    <row r="156" spans="1:3" x14ac:dyDescent="0.25">
      <c r="A156" t="s">
        <v>153</v>
      </c>
      <c r="B156">
        <v>38.667000000000002</v>
      </c>
      <c r="C156">
        <v>-121.4</v>
      </c>
    </row>
    <row r="157" spans="1:3" x14ac:dyDescent="0.25">
      <c r="A157" t="s">
        <v>154</v>
      </c>
      <c r="B157">
        <v>39.136000000000003</v>
      </c>
      <c r="C157">
        <v>-121.43600000000001</v>
      </c>
    </row>
    <row r="158" spans="1:3" x14ac:dyDescent="0.25">
      <c r="A158" t="s">
        <v>155</v>
      </c>
      <c r="B158">
        <v>39.097999999999999</v>
      </c>
      <c r="C158">
        <v>-121.57</v>
      </c>
    </row>
    <row r="159" spans="1:3" x14ac:dyDescent="0.25">
      <c r="A159" t="s">
        <v>156</v>
      </c>
      <c r="B159">
        <v>38.695999999999998</v>
      </c>
      <c r="C159">
        <v>-121.59</v>
      </c>
    </row>
    <row r="160" spans="1:3" x14ac:dyDescent="0.25">
      <c r="A160" t="s">
        <v>157</v>
      </c>
      <c r="B160">
        <v>36.582999999999998</v>
      </c>
      <c r="C160">
        <v>-121.833</v>
      </c>
    </row>
    <row r="161" spans="1:3" x14ac:dyDescent="0.25">
      <c r="A161" t="s">
        <v>158</v>
      </c>
      <c r="B161">
        <v>36.683</v>
      </c>
      <c r="C161">
        <v>-121.767</v>
      </c>
    </row>
    <row r="162" spans="1:3" x14ac:dyDescent="0.25">
      <c r="A162" t="s">
        <v>159</v>
      </c>
      <c r="B162">
        <v>36.662999999999997</v>
      </c>
      <c r="C162">
        <v>-121.605</v>
      </c>
    </row>
    <row r="163" spans="1:3" x14ac:dyDescent="0.25">
      <c r="A163" t="s">
        <v>160</v>
      </c>
      <c r="B163">
        <v>37.893999999999998</v>
      </c>
      <c r="C163">
        <v>-121.23699999999999</v>
      </c>
    </row>
    <row r="164" spans="1:3" x14ac:dyDescent="0.25">
      <c r="A164" t="s">
        <v>161</v>
      </c>
      <c r="B164">
        <v>37.625999999999998</v>
      </c>
      <c r="C164">
        <v>-120.953</v>
      </c>
    </row>
    <row r="165" spans="1:3" x14ac:dyDescent="0.25">
      <c r="A165" t="s">
        <v>162</v>
      </c>
      <c r="B165">
        <v>37.694000000000003</v>
      </c>
      <c r="C165">
        <v>-121.81699999999999</v>
      </c>
    </row>
    <row r="166" spans="1:3" x14ac:dyDescent="0.25">
      <c r="A166" t="s">
        <v>163</v>
      </c>
      <c r="B166">
        <v>37.755000000000003</v>
      </c>
      <c r="C166">
        <v>-122.221</v>
      </c>
    </row>
    <row r="167" spans="1:3" x14ac:dyDescent="0.25">
      <c r="A167" t="s">
        <v>164</v>
      </c>
      <c r="B167">
        <v>37.658999999999999</v>
      </c>
      <c r="C167">
        <v>-122.121</v>
      </c>
    </row>
    <row r="168" spans="1:3" x14ac:dyDescent="0.25">
      <c r="A168" t="s">
        <v>165</v>
      </c>
      <c r="B168">
        <v>37.991999999999997</v>
      </c>
      <c r="C168">
        <v>-122.05200000000001</v>
      </c>
    </row>
    <row r="169" spans="1:3" x14ac:dyDescent="0.25">
      <c r="A169" t="s">
        <v>166</v>
      </c>
      <c r="B169">
        <v>37.619999999999997</v>
      </c>
      <c r="C169">
        <v>-122.398</v>
      </c>
    </row>
    <row r="170" spans="1:3" x14ac:dyDescent="0.25">
      <c r="A170" t="s">
        <v>167</v>
      </c>
      <c r="B170">
        <v>37.362000000000002</v>
      </c>
      <c r="C170">
        <v>-121.928</v>
      </c>
    </row>
    <row r="171" spans="1:3" x14ac:dyDescent="0.25">
      <c r="A171" t="s">
        <v>168</v>
      </c>
      <c r="B171">
        <v>38.213000000000001</v>
      </c>
      <c r="C171">
        <v>-122.28</v>
      </c>
    </row>
    <row r="172" spans="1:3" x14ac:dyDescent="0.25">
      <c r="A172" t="s">
        <v>169</v>
      </c>
      <c r="B172">
        <v>38.067</v>
      </c>
      <c r="C172">
        <v>-122.5</v>
      </c>
    </row>
    <row r="173" spans="1:3" x14ac:dyDescent="0.25">
      <c r="A173" t="s">
        <v>170</v>
      </c>
      <c r="B173">
        <v>38.509</v>
      </c>
      <c r="C173">
        <v>-122.812</v>
      </c>
    </row>
    <row r="174" spans="1:3" x14ac:dyDescent="0.25">
      <c r="A174" t="s">
        <v>171</v>
      </c>
      <c r="B174">
        <v>39.292000000000002</v>
      </c>
      <c r="C174">
        <v>-120.708</v>
      </c>
    </row>
    <row r="175" spans="1:3" x14ac:dyDescent="0.25">
      <c r="A175" t="s">
        <v>172</v>
      </c>
      <c r="B175">
        <v>39.32</v>
      </c>
      <c r="C175">
        <v>-120.134</v>
      </c>
    </row>
    <row r="176" spans="1:3" x14ac:dyDescent="0.25">
      <c r="A176" t="s">
        <v>173</v>
      </c>
      <c r="B176">
        <v>38.893999999999998</v>
      </c>
      <c r="C176">
        <v>-119.995</v>
      </c>
    </row>
    <row r="177" spans="1:3" x14ac:dyDescent="0.25">
      <c r="A177" t="s">
        <v>174</v>
      </c>
      <c r="B177">
        <v>39.125999999999998</v>
      </c>
      <c r="C177">
        <v>-123.20099999999999</v>
      </c>
    </row>
    <row r="178" spans="1:3" x14ac:dyDescent="0.25">
      <c r="A178" t="s">
        <v>175</v>
      </c>
      <c r="B178">
        <v>40.152000000000001</v>
      </c>
      <c r="C178">
        <v>-122.254</v>
      </c>
    </row>
    <row r="179" spans="1:3" x14ac:dyDescent="0.25">
      <c r="A179" t="s">
        <v>176</v>
      </c>
      <c r="B179">
        <v>40.515000000000001</v>
      </c>
      <c r="C179">
        <v>-122.313</v>
      </c>
    </row>
    <row r="180" spans="1:3" x14ac:dyDescent="0.25">
      <c r="A180" t="s">
        <v>177</v>
      </c>
      <c r="B180">
        <v>40.515000000000001</v>
      </c>
      <c r="C180">
        <v>-122.313</v>
      </c>
    </row>
    <row r="181" spans="1:3" x14ac:dyDescent="0.25">
      <c r="A181" t="s">
        <v>178</v>
      </c>
      <c r="B181">
        <v>40.978000000000002</v>
      </c>
      <c r="C181">
        <v>-124.10899999999999</v>
      </c>
    </row>
    <row r="182" spans="1:3" x14ac:dyDescent="0.25">
      <c r="A182" t="s">
        <v>179</v>
      </c>
      <c r="B182">
        <v>41.78</v>
      </c>
      <c r="C182">
        <v>-124.23699999999999</v>
      </c>
    </row>
    <row r="183" spans="1:3" x14ac:dyDescent="0.25">
      <c r="A183" t="s">
        <v>180</v>
      </c>
      <c r="B183">
        <v>41.780999999999999</v>
      </c>
      <c r="C183">
        <v>-122.468</v>
      </c>
    </row>
    <row r="184" spans="1:3" x14ac:dyDescent="0.25">
      <c r="A184" t="s">
        <v>181</v>
      </c>
      <c r="B184">
        <v>41.332999999999998</v>
      </c>
      <c r="C184">
        <v>-122.333</v>
      </c>
    </row>
    <row r="185" spans="1:3" x14ac:dyDescent="0.25">
      <c r="A185" t="s">
        <v>182</v>
      </c>
      <c r="B185">
        <v>41.482999999999997</v>
      </c>
      <c r="C185">
        <v>-120.56699999999999</v>
      </c>
    </row>
    <row r="186" spans="1:3" x14ac:dyDescent="0.25">
      <c r="A186" t="s">
        <v>183</v>
      </c>
      <c r="B186">
        <v>36.988</v>
      </c>
      <c r="C186">
        <v>-120.111</v>
      </c>
    </row>
    <row r="187" spans="1:3" x14ac:dyDescent="0.25">
      <c r="A187" t="s">
        <v>184</v>
      </c>
      <c r="B187">
        <v>39.49</v>
      </c>
      <c r="C187">
        <v>-121.61799999999999</v>
      </c>
    </row>
    <row r="188" spans="1:3" x14ac:dyDescent="0.25">
      <c r="A188" t="s">
        <v>185</v>
      </c>
      <c r="B188">
        <v>33.033000000000001</v>
      </c>
      <c r="C188">
        <v>-116.917</v>
      </c>
    </row>
    <row r="189" spans="1:3" x14ac:dyDescent="0.25">
      <c r="A189" t="s">
        <v>186</v>
      </c>
      <c r="B189">
        <v>36.936</v>
      </c>
      <c r="C189">
        <v>-121.789</v>
      </c>
    </row>
    <row r="190" spans="1:3" x14ac:dyDescent="0.25">
      <c r="A190" t="s">
        <v>187</v>
      </c>
      <c r="B190">
        <v>34.79</v>
      </c>
      <c r="C190">
        <v>-122.325</v>
      </c>
    </row>
    <row r="191" spans="1:3" x14ac:dyDescent="0.25">
      <c r="A191" t="s">
        <v>188</v>
      </c>
      <c r="B191">
        <v>37.414999999999999</v>
      </c>
      <c r="C191">
        <v>-122.048</v>
      </c>
    </row>
    <row r="192" spans="1:3" x14ac:dyDescent="0.25">
      <c r="A192" t="s">
        <v>189</v>
      </c>
      <c r="B192">
        <v>38.262999999999998</v>
      </c>
      <c r="C192">
        <v>-121.928</v>
      </c>
    </row>
    <row r="193" spans="1:3" x14ac:dyDescent="0.25">
      <c r="A193" t="s">
        <v>190</v>
      </c>
      <c r="B193">
        <v>35.280999999999999</v>
      </c>
      <c r="C193">
        <v>-116.63</v>
      </c>
    </row>
    <row r="194" spans="1:3" x14ac:dyDescent="0.25">
      <c r="A194" t="s">
        <v>191</v>
      </c>
      <c r="B194">
        <v>35.683</v>
      </c>
      <c r="C194">
        <v>-117.68300000000001</v>
      </c>
    </row>
    <row r="195" spans="1:3" x14ac:dyDescent="0.25">
      <c r="A195" t="s">
        <v>192</v>
      </c>
      <c r="B195">
        <v>36.332999999999998</v>
      </c>
      <c r="C195">
        <v>-119.95</v>
      </c>
    </row>
    <row r="196" spans="1:3" x14ac:dyDescent="0.25">
      <c r="A196" t="s">
        <v>193</v>
      </c>
      <c r="B196">
        <v>34.049999999999997</v>
      </c>
      <c r="C196">
        <v>-117.56699999999999</v>
      </c>
    </row>
    <row r="197" spans="1:3" x14ac:dyDescent="0.25">
      <c r="A197" t="s">
        <v>194</v>
      </c>
      <c r="B197">
        <v>32.834000000000003</v>
      </c>
      <c r="C197">
        <v>-115.57899999999999</v>
      </c>
    </row>
    <row r="198" spans="1:3" x14ac:dyDescent="0.25">
      <c r="A198" t="s">
        <v>195</v>
      </c>
      <c r="B198">
        <v>32.616999999999997</v>
      </c>
      <c r="C198">
        <v>-116.467</v>
      </c>
    </row>
    <row r="199" spans="1:3" x14ac:dyDescent="0.25">
      <c r="A199" t="s">
        <v>196</v>
      </c>
      <c r="B199">
        <v>33.628</v>
      </c>
      <c r="C199">
        <v>-116.16</v>
      </c>
    </row>
    <row r="200" spans="1:3" x14ac:dyDescent="0.25">
      <c r="A200" t="s">
        <v>197</v>
      </c>
      <c r="B200">
        <v>33.619</v>
      </c>
      <c r="C200">
        <v>-114.717</v>
      </c>
    </row>
    <row r="201" spans="1:3" x14ac:dyDescent="0.25">
      <c r="A201" t="s">
        <v>198</v>
      </c>
      <c r="B201">
        <v>37.450000000000003</v>
      </c>
      <c r="C201">
        <v>-106.8</v>
      </c>
    </row>
    <row r="202" spans="1:3" x14ac:dyDescent="0.25">
      <c r="A202" t="s">
        <v>199</v>
      </c>
      <c r="B202">
        <v>38.767000000000003</v>
      </c>
      <c r="C202">
        <v>-104.3</v>
      </c>
    </row>
    <row r="203" spans="1:3" x14ac:dyDescent="0.25">
      <c r="A203" t="s">
        <v>200</v>
      </c>
      <c r="B203">
        <v>37.436</v>
      </c>
      <c r="C203">
        <v>-105.866</v>
      </c>
    </row>
    <row r="204" spans="1:3" x14ac:dyDescent="0.25">
      <c r="A204" t="s">
        <v>201</v>
      </c>
      <c r="B204">
        <v>37.143000000000001</v>
      </c>
      <c r="C204">
        <v>-107.76</v>
      </c>
    </row>
    <row r="205" spans="1:3" x14ac:dyDescent="0.25">
      <c r="A205" t="s">
        <v>202</v>
      </c>
      <c r="B205">
        <v>37.954000000000001</v>
      </c>
      <c r="C205">
        <v>-107.901</v>
      </c>
    </row>
    <row r="206" spans="1:3" x14ac:dyDescent="0.25">
      <c r="A206" t="s">
        <v>203</v>
      </c>
      <c r="B206">
        <v>38.051000000000002</v>
      </c>
      <c r="C206">
        <v>-103.527</v>
      </c>
    </row>
    <row r="207" spans="1:3" x14ac:dyDescent="0.25">
      <c r="A207" t="s">
        <v>204</v>
      </c>
      <c r="B207">
        <v>38.07</v>
      </c>
      <c r="C207">
        <v>-102.688</v>
      </c>
    </row>
    <row r="208" spans="1:3" x14ac:dyDescent="0.25">
      <c r="A208" t="s">
        <v>205</v>
      </c>
      <c r="B208">
        <v>38.29</v>
      </c>
      <c r="C208">
        <v>-104.498</v>
      </c>
    </row>
    <row r="209" spans="1:3" x14ac:dyDescent="0.25">
      <c r="A209" t="s">
        <v>206</v>
      </c>
      <c r="B209">
        <v>37.259</v>
      </c>
      <c r="C209">
        <v>-104.34099999999999</v>
      </c>
    </row>
    <row r="210" spans="1:3" x14ac:dyDescent="0.25">
      <c r="A210" t="s">
        <v>207</v>
      </c>
      <c r="B210">
        <v>37.283000000000001</v>
      </c>
      <c r="C210">
        <v>-102.614</v>
      </c>
    </row>
    <row r="211" spans="1:3" x14ac:dyDescent="0.25">
      <c r="A211" t="s">
        <v>208</v>
      </c>
      <c r="B211">
        <v>38.811999999999998</v>
      </c>
      <c r="C211">
        <v>-104.711</v>
      </c>
    </row>
    <row r="212" spans="1:3" x14ac:dyDescent="0.25">
      <c r="A212" t="s">
        <v>209</v>
      </c>
      <c r="B212">
        <v>39.189</v>
      </c>
      <c r="C212">
        <v>-103.71599999999999</v>
      </c>
    </row>
    <row r="213" spans="1:3" x14ac:dyDescent="0.25">
      <c r="A213" t="s">
        <v>210</v>
      </c>
      <c r="B213">
        <v>39.57</v>
      </c>
      <c r="C213">
        <v>-104.849</v>
      </c>
    </row>
    <row r="214" spans="1:3" x14ac:dyDescent="0.25">
      <c r="A214" t="s">
        <v>211</v>
      </c>
      <c r="B214">
        <v>39.25</v>
      </c>
      <c r="C214">
        <v>-106.3</v>
      </c>
    </row>
    <row r="215" spans="1:3" x14ac:dyDescent="0.25">
      <c r="A215" t="s">
        <v>212</v>
      </c>
      <c r="B215">
        <v>39.228000000000002</v>
      </c>
      <c r="C215">
        <v>-106.316</v>
      </c>
    </row>
    <row r="216" spans="1:3" x14ac:dyDescent="0.25">
      <c r="A216" t="s">
        <v>213</v>
      </c>
      <c r="B216">
        <v>40.048999999999999</v>
      </c>
      <c r="C216">
        <v>-107.88500000000001</v>
      </c>
    </row>
    <row r="217" spans="1:3" x14ac:dyDescent="0.25">
      <c r="A217" t="s">
        <v>214</v>
      </c>
      <c r="B217">
        <v>39.643000000000001</v>
      </c>
      <c r="C217">
        <v>-106.91800000000001</v>
      </c>
    </row>
    <row r="218" spans="1:3" x14ac:dyDescent="0.25">
      <c r="A218" t="s">
        <v>215</v>
      </c>
      <c r="B218">
        <v>39.222999999999999</v>
      </c>
      <c r="C218">
        <v>-106.86799999999999</v>
      </c>
    </row>
    <row r="219" spans="1:3" x14ac:dyDescent="0.25">
      <c r="A219" t="s">
        <v>216</v>
      </c>
      <c r="B219">
        <v>38.700000000000003</v>
      </c>
      <c r="C219">
        <v>-104.767</v>
      </c>
    </row>
    <row r="220" spans="1:3" x14ac:dyDescent="0.25">
      <c r="A220" t="s">
        <v>217</v>
      </c>
      <c r="B220">
        <v>39.244999999999997</v>
      </c>
      <c r="C220">
        <v>-102.28400000000001</v>
      </c>
    </row>
    <row r="221" spans="1:3" x14ac:dyDescent="0.25">
      <c r="A221" t="s">
        <v>218</v>
      </c>
      <c r="B221">
        <v>39.75</v>
      </c>
      <c r="C221">
        <v>-104.867</v>
      </c>
    </row>
    <row r="222" spans="1:3" x14ac:dyDescent="0.25">
      <c r="A222" t="s">
        <v>219</v>
      </c>
      <c r="B222">
        <v>39.701999999999998</v>
      </c>
      <c r="C222">
        <v>-104.752</v>
      </c>
    </row>
    <row r="223" spans="1:3" x14ac:dyDescent="0.25">
      <c r="A223" t="s">
        <v>220</v>
      </c>
      <c r="B223">
        <v>40.582999999999998</v>
      </c>
      <c r="C223">
        <v>-105.083</v>
      </c>
    </row>
    <row r="224" spans="1:3" x14ac:dyDescent="0.25">
      <c r="A224" t="s">
        <v>221</v>
      </c>
      <c r="B224">
        <v>40.171999999999997</v>
      </c>
      <c r="C224">
        <v>-103.232</v>
      </c>
    </row>
    <row r="225" spans="1:3" x14ac:dyDescent="0.25">
      <c r="A225" t="s">
        <v>222</v>
      </c>
      <c r="B225">
        <v>39.908999999999999</v>
      </c>
      <c r="C225">
        <v>-105.117</v>
      </c>
    </row>
    <row r="226" spans="1:3" x14ac:dyDescent="0.25">
      <c r="A226" t="s">
        <v>223</v>
      </c>
      <c r="B226">
        <v>39.134</v>
      </c>
      <c r="C226">
        <v>-108.538</v>
      </c>
    </row>
    <row r="227" spans="1:3" x14ac:dyDescent="0.25">
      <c r="A227" t="s">
        <v>224</v>
      </c>
      <c r="B227">
        <v>38.505000000000003</v>
      </c>
      <c r="C227">
        <v>-107.898</v>
      </c>
    </row>
    <row r="228" spans="1:3" x14ac:dyDescent="0.25">
      <c r="A228" t="s">
        <v>225</v>
      </c>
      <c r="B228">
        <v>37.302999999999997</v>
      </c>
      <c r="C228">
        <v>-108.628</v>
      </c>
    </row>
    <row r="229" spans="1:3" x14ac:dyDescent="0.25">
      <c r="A229" t="s">
        <v>226</v>
      </c>
      <c r="B229">
        <v>40.436</v>
      </c>
      <c r="C229">
        <v>-104.61799999999999</v>
      </c>
    </row>
    <row r="230" spans="1:3" x14ac:dyDescent="0.25">
      <c r="A230" t="s">
        <v>227</v>
      </c>
      <c r="B230">
        <v>39.832999999999998</v>
      </c>
      <c r="C230">
        <v>-104.658</v>
      </c>
    </row>
    <row r="231" spans="1:3" x14ac:dyDescent="0.25">
      <c r="A231" t="s">
        <v>228</v>
      </c>
      <c r="B231">
        <v>40.481000000000002</v>
      </c>
      <c r="C231">
        <v>-107.217</v>
      </c>
    </row>
    <row r="232" spans="1:3" x14ac:dyDescent="0.25">
      <c r="A232" t="s">
        <v>229</v>
      </c>
      <c r="B232">
        <v>39.526000000000003</v>
      </c>
      <c r="C232">
        <v>-107.726</v>
      </c>
    </row>
    <row r="233" spans="1:3" x14ac:dyDescent="0.25">
      <c r="A233" t="s">
        <v>230</v>
      </c>
      <c r="B233">
        <v>38.972000000000001</v>
      </c>
      <c r="C233">
        <v>-104.813</v>
      </c>
    </row>
    <row r="234" spans="1:3" x14ac:dyDescent="0.25">
      <c r="A234" t="s">
        <v>231</v>
      </c>
      <c r="B234">
        <v>41.51</v>
      </c>
      <c r="C234">
        <v>-72.828000000000003</v>
      </c>
    </row>
    <row r="235" spans="1:3" x14ac:dyDescent="0.25">
      <c r="A235" t="s">
        <v>232</v>
      </c>
      <c r="B235">
        <v>41.174999999999997</v>
      </c>
      <c r="C235">
        <v>-73.146000000000001</v>
      </c>
    </row>
    <row r="236" spans="1:3" x14ac:dyDescent="0.25">
      <c r="A236" t="s">
        <v>233</v>
      </c>
      <c r="B236">
        <v>41.264000000000003</v>
      </c>
      <c r="C236">
        <v>-72.887</v>
      </c>
    </row>
    <row r="237" spans="1:3" x14ac:dyDescent="0.25">
      <c r="A237" t="s">
        <v>234</v>
      </c>
      <c r="B237">
        <v>41.328000000000003</v>
      </c>
      <c r="C237">
        <v>-72.049000000000007</v>
      </c>
    </row>
    <row r="238" spans="1:3" x14ac:dyDescent="0.25">
      <c r="A238" t="s">
        <v>235</v>
      </c>
      <c r="B238">
        <v>41.938000000000002</v>
      </c>
      <c r="C238">
        <v>-72.683000000000007</v>
      </c>
    </row>
    <row r="239" spans="1:3" x14ac:dyDescent="0.25">
      <c r="A239" t="s">
        <v>236</v>
      </c>
      <c r="B239">
        <v>41.741999999999997</v>
      </c>
      <c r="C239">
        <v>-72.183999999999997</v>
      </c>
    </row>
    <row r="240" spans="1:3" x14ac:dyDescent="0.25">
      <c r="A240" t="s">
        <v>237</v>
      </c>
      <c r="B240">
        <v>41.371000000000002</v>
      </c>
      <c r="C240">
        <v>-73.483000000000004</v>
      </c>
    </row>
    <row r="241" spans="1:3" x14ac:dyDescent="0.25">
      <c r="A241" t="s">
        <v>238</v>
      </c>
      <c r="B241">
        <v>41.735999999999997</v>
      </c>
      <c r="C241">
        <v>-72.650999999999996</v>
      </c>
    </row>
    <row r="242" spans="1:3" x14ac:dyDescent="0.25">
      <c r="A242" t="s">
        <v>239</v>
      </c>
      <c r="B242">
        <v>38.865000000000002</v>
      </c>
      <c r="C242">
        <v>-77.034000000000006</v>
      </c>
    </row>
    <row r="243" spans="1:3" x14ac:dyDescent="0.25">
      <c r="A243" t="s">
        <v>240</v>
      </c>
      <c r="B243">
        <v>39.130000000000003</v>
      </c>
      <c r="C243">
        <v>-75.465999999999994</v>
      </c>
    </row>
    <row r="244" spans="1:3" x14ac:dyDescent="0.25">
      <c r="A244" t="s">
        <v>241</v>
      </c>
      <c r="B244">
        <v>39.673000000000002</v>
      </c>
      <c r="C244">
        <v>-75.600999999999999</v>
      </c>
    </row>
    <row r="245" spans="1:3" x14ac:dyDescent="0.25">
      <c r="A245" t="s">
        <v>242</v>
      </c>
      <c r="B245">
        <v>38.689</v>
      </c>
      <c r="C245">
        <v>-75.358999999999995</v>
      </c>
    </row>
    <row r="246" spans="1:3" x14ac:dyDescent="0.25">
      <c r="A246" t="s">
        <v>243</v>
      </c>
      <c r="B246">
        <v>30.417000000000002</v>
      </c>
      <c r="C246">
        <v>-86.667000000000002</v>
      </c>
    </row>
    <row r="247" spans="1:3" x14ac:dyDescent="0.25">
      <c r="A247" t="s">
        <v>244</v>
      </c>
      <c r="B247">
        <v>30.704000000000001</v>
      </c>
      <c r="C247">
        <v>-87.022999999999996</v>
      </c>
    </row>
    <row r="248" spans="1:3" x14ac:dyDescent="0.25">
      <c r="A248" t="s">
        <v>245</v>
      </c>
      <c r="B248">
        <v>24.553000000000001</v>
      </c>
      <c r="C248">
        <v>-81.754000000000005</v>
      </c>
    </row>
    <row r="249" spans="1:3" x14ac:dyDescent="0.25">
      <c r="A249" t="s">
        <v>246</v>
      </c>
      <c r="B249">
        <v>28.474</v>
      </c>
      <c r="C249">
        <v>-82.453999999999994</v>
      </c>
    </row>
    <row r="250" spans="1:3" x14ac:dyDescent="0.25">
      <c r="A250" t="s">
        <v>247</v>
      </c>
      <c r="B250">
        <v>24.582999999999998</v>
      </c>
      <c r="C250">
        <v>-81.683000000000007</v>
      </c>
    </row>
    <row r="251" spans="1:3" x14ac:dyDescent="0.25">
      <c r="A251" t="s">
        <v>248</v>
      </c>
      <c r="B251">
        <v>24.725999999999999</v>
      </c>
      <c r="C251">
        <v>-81.052000000000007</v>
      </c>
    </row>
    <row r="252" spans="1:3" x14ac:dyDescent="0.25">
      <c r="A252" t="s">
        <v>249</v>
      </c>
      <c r="B252">
        <v>28.062000000000001</v>
      </c>
      <c r="C252">
        <v>-81.754000000000005</v>
      </c>
    </row>
    <row r="253" spans="1:3" x14ac:dyDescent="0.25">
      <c r="A253" t="s">
        <v>250</v>
      </c>
      <c r="B253">
        <v>25.824000000000002</v>
      </c>
      <c r="C253">
        <v>-80.3</v>
      </c>
    </row>
    <row r="254" spans="1:3" x14ac:dyDescent="0.25">
      <c r="A254" t="s">
        <v>251</v>
      </c>
      <c r="B254">
        <v>28.013999999999999</v>
      </c>
      <c r="C254">
        <v>-82.334000000000003</v>
      </c>
    </row>
    <row r="255" spans="1:3" x14ac:dyDescent="0.25">
      <c r="A255" t="s">
        <v>252</v>
      </c>
      <c r="B255">
        <v>25.907</v>
      </c>
      <c r="C255">
        <v>-80.28</v>
      </c>
    </row>
    <row r="256" spans="1:3" x14ac:dyDescent="0.25">
      <c r="A256" t="s">
        <v>253</v>
      </c>
      <c r="B256">
        <v>26.071999999999999</v>
      </c>
      <c r="C256">
        <v>-80.153999999999996</v>
      </c>
    </row>
    <row r="257" spans="1:3" x14ac:dyDescent="0.25">
      <c r="A257" t="s">
        <v>254</v>
      </c>
      <c r="B257">
        <v>25.488</v>
      </c>
      <c r="C257">
        <v>-80.384</v>
      </c>
    </row>
    <row r="258" spans="1:3" x14ac:dyDescent="0.25">
      <c r="A258" t="s">
        <v>255</v>
      </c>
      <c r="B258">
        <v>25.648</v>
      </c>
      <c r="C258">
        <v>-80.433000000000007</v>
      </c>
    </row>
    <row r="259" spans="1:3" x14ac:dyDescent="0.25">
      <c r="A259" t="s">
        <v>256</v>
      </c>
      <c r="B259">
        <v>26.684999999999999</v>
      </c>
      <c r="C259">
        <v>-80.099000000000004</v>
      </c>
    </row>
    <row r="260" spans="1:3" x14ac:dyDescent="0.25">
      <c r="A260" t="s">
        <v>257</v>
      </c>
      <c r="B260">
        <v>26.917000000000002</v>
      </c>
      <c r="C260">
        <v>-81.991</v>
      </c>
    </row>
    <row r="261" spans="1:3" x14ac:dyDescent="0.25">
      <c r="A261" t="s">
        <v>258</v>
      </c>
      <c r="B261">
        <v>25.998999999999999</v>
      </c>
      <c r="C261">
        <v>-80.241</v>
      </c>
    </row>
    <row r="262" spans="1:3" x14ac:dyDescent="0.25">
      <c r="A262" t="s">
        <v>259</v>
      </c>
      <c r="B262">
        <v>26.152999999999999</v>
      </c>
      <c r="C262">
        <v>-81.775000000000006</v>
      </c>
    </row>
    <row r="263" spans="1:3" x14ac:dyDescent="0.25">
      <c r="A263" t="s">
        <v>260</v>
      </c>
      <c r="B263">
        <v>26.196999999999999</v>
      </c>
      <c r="C263">
        <v>-80.171000000000006</v>
      </c>
    </row>
    <row r="264" spans="1:3" x14ac:dyDescent="0.25">
      <c r="A264" t="s">
        <v>261</v>
      </c>
      <c r="B264">
        <v>28.103000000000002</v>
      </c>
      <c r="C264">
        <v>-80.646000000000001</v>
      </c>
    </row>
    <row r="265" spans="1:3" x14ac:dyDescent="0.25">
      <c r="A265" t="s">
        <v>262</v>
      </c>
      <c r="B265">
        <v>27.655999999999999</v>
      </c>
      <c r="C265">
        <v>-80.418000000000006</v>
      </c>
    </row>
    <row r="266" spans="1:3" x14ac:dyDescent="0.25">
      <c r="A266" t="s">
        <v>263</v>
      </c>
      <c r="B266">
        <v>26.25</v>
      </c>
      <c r="C266">
        <v>-80.108000000000004</v>
      </c>
    </row>
    <row r="267" spans="1:3" x14ac:dyDescent="0.25">
      <c r="A267" t="s">
        <v>264</v>
      </c>
      <c r="B267">
        <v>28.434000000000001</v>
      </c>
      <c r="C267">
        <v>-81.325000000000003</v>
      </c>
    </row>
    <row r="268" spans="1:3" x14ac:dyDescent="0.25">
      <c r="A268" t="s">
        <v>265</v>
      </c>
      <c r="B268">
        <v>28.545000000000002</v>
      </c>
      <c r="C268">
        <v>-81.332999999999998</v>
      </c>
    </row>
    <row r="269" spans="1:3" x14ac:dyDescent="0.25">
      <c r="A269" t="s">
        <v>266</v>
      </c>
      <c r="B269">
        <v>29.177</v>
      </c>
      <c r="C269">
        <v>-81.06</v>
      </c>
    </row>
    <row r="270" spans="1:3" x14ac:dyDescent="0.25">
      <c r="A270" t="s">
        <v>267</v>
      </c>
      <c r="B270">
        <v>28.78</v>
      </c>
      <c r="C270">
        <v>-81.244</v>
      </c>
    </row>
    <row r="271" spans="1:3" x14ac:dyDescent="0.25">
      <c r="A271" t="s">
        <v>268</v>
      </c>
      <c r="B271">
        <v>30.494</v>
      </c>
      <c r="C271">
        <v>-81.692999999999998</v>
      </c>
    </row>
    <row r="272" spans="1:3" x14ac:dyDescent="0.25">
      <c r="A272" t="s">
        <v>269</v>
      </c>
      <c r="B272">
        <v>28.187999999999999</v>
      </c>
      <c r="C272">
        <v>-82.626000000000005</v>
      </c>
    </row>
    <row r="273" spans="1:3" x14ac:dyDescent="0.25">
      <c r="A273" t="s">
        <v>270</v>
      </c>
      <c r="B273">
        <v>30.233000000000001</v>
      </c>
      <c r="C273">
        <v>-81.683000000000007</v>
      </c>
    </row>
    <row r="274" spans="1:3" x14ac:dyDescent="0.25">
      <c r="A274" t="s">
        <v>271</v>
      </c>
      <c r="B274">
        <v>30.4</v>
      </c>
      <c r="C274">
        <v>-81.417000000000002</v>
      </c>
    </row>
    <row r="275" spans="1:3" x14ac:dyDescent="0.25">
      <c r="A275" t="s">
        <v>272</v>
      </c>
      <c r="B275">
        <v>30.219000000000001</v>
      </c>
      <c r="C275">
        <v>-81.867999999999995</v>
      </c>
    </row>
    <row r="276" spans="1:3" x14ac:dyDescent="0.25">
      <c r="A276" t="s">
        <v>273</v>
      </c>
      <c r="B276">
        <v>30.335999999999999</v>
      </c>
      <c r="C276">
        <v>-81.515000000000001</v>
      </c>
    </row>
    <row r="277" spans="1:3" x14ac:dyDescent="0.25">
      <c r="A277" t="s">
        <v>274</v>
      </c>
      <c r="B277">
        <v>30.4</v>
      </c>
      <c r="C277">
        <v>-86.471999999999994</v>
      </c>
    </row>
    <row r="278" spans="1:3" x14ac:dyDescent="0.25">
      <c r="A278" t="s">
        <v>275</v>
      </c>
      <c r="B278">
        <v>27.498000000000001</v>
      </c>
      <c r="C278">
        <v>-80.376999999999995</v>
      </c>
    </row>
    <row r="279" spans="1:3" x14ac:dyDescent="0.25">
      <c r="A279" t="s">
        <v>276</v>
      </c>
      <c r="B279">
        <v>27.765000000000001</v>
      </c>
      <c r="C279">
        <v>-82.628</v>
      </c>
    </row>
    <row r="280" spans="1:3" x14ac:dyDescent="0.25">
      <c r="A280" t="s">
        <v>277</v>
      </c>
      <c r="B280">
        <v>26.585999999999999</v>
      </c>
      <c r="C280">
        <v>-81.864000000000004</v>
      </c>
    </row>
    <row r="281" spans="1:3" x14ac:dyDescent="0.25">
      <c r="A281" t="s">
        <v>278</v>
      </c>
      <c r="B281">
        <v>26.536000000000001</v>
      </c>
      <c r="C281">
        <v>-81.754999999999995</v>
      </c>
    </row>
    <row r="282" spans="1:3" x14ac:dyDescent="0.25">
      <c r="A282" t="s">
        <v>279</v>
      </c>
      <c r="B282">
        <v>27.960999999999999</v>
      </c>
      <c r="C282">
        <v>-82.54</v>
      </c>
    </row>
    <row r="283" spans="1:3" x14ac:dyDescent="0.25">
      <c r="A283" t="s">
        <v>280</v>
      </c>
      <c r="B283">
        <v>27.401</v>
      </c>
      <c r="C283">
        <v>-82.558999999999997</v>
      </c>
    </row>
    <row r="284" spans="1:3" x14ac:dyDescent="0.25">
      <c r="A284" t="s">
        <v>281</v>
      </c>
      <c r="B284">
        <v>27.911000000000001</v>
      </c>
      <c r="C284">
        <v>-82.688000000000002</v>
      </c>
    </row>
    <row r="285" spans="1:3" x14ac:dyDescent="0.25">
      <c r="A285" t="s">
        <v>282</v>
      </c>
      <c r="B285">
        <v>29.55</v>
      </c>
      <c r="C285">
        <v>-83.105000000000004</v>
      </c>
    </row>
    <row r="286" spans="1:3" x14ac:dyDescent="0.25">
      <c r="A286" t="s">
        <v>283</v>
      </c>
      <c r="B286">
        <v>30.393000000000001</v>
      </c>
      <c r="C286">
        <v>-84.352999999999994</v>
      </c>
    </row>
    <row r="287" spans="1:3" x14ac:dyDescent="0.25">
      <c r="A287" t="s">
        <v>284</v>
      </c>
      <c r="B287">
        <v>29.69</v>
      </c>
      <c r="C287">
        <v>-82.272000000000006</v>
      </c>
    </row>
    <row r="288" spans="1:3" x14ac:dyDescent="0.25">
      <c r="A288" t="s">
        <v>285</v>
      </c>
      <c r="B288">
        <v>29.733000000000001</v>
      </c>
      <c r="C288">
        <v>-85.033000000000001</v>
      </c>
    </row>
    <row r="289" spans="1:3" x14ac:dyDescent="0.25">
      <c r="A289" t="s">
        <v>286</v>
      </c>
      <c r="B289">
        <v>30.483000000000001</v>
      </c>
      <c r="C289">
        <v>-86.525000000000006</v>
      </c>
    </row>
    <row r="290" spans="1:3" x14ac:dyDescent="0.25">
      <c r="A290" t="s">
        <v>287</v>
      </c>
      <c r="B290">
        <v>29.959</v>
      </c>
      <c r="C290">
        <v>-81.334000000000003</v>
      </c>
    </row>
    <row r="291" spans="1:3" x14ac:dyDescent="0.25">
      <c r="A291" t="s">
        <v>288</v>
      </c>
      <c r="B291">
        <v>28.821000000000002</v>
      </c>
      <c r="C291">
        <v>-81.81</v>
      </c>
    </row>
    <row r="292" spans="1:3" x14ac:dyDescent="0.25">
      <c r="A292" t="s">
        <v>289</v>
      </c>
      <c r="B292">
        <v>30.78</v>
      </c>
      <c r="C292">
        <v>-86.522999999999996</v>
      </c>
    </row>
    <row r="293" spans="1:3" x14ac:dyDescent="0.25">
      <c r="A293" t="s">
        <v>290</v>
      </c>
      <c r="B293">
        <v>30.472999999999999</v>
      </c>
      <c r="C293">
        <v>-87.188000000000002</v>
      </c>
    </row>
    <row r="294" spans="1:3" x14ac:dyDescent="0.25">
      <c r="A294" t="s">
        <v>291</v>
      </c>
      <c r="B294">
        <v>30.472999999999999</v>
      </c>
      <c r="C294">
        <v>-87.188000000000002</v>
      </c>
    </row>
    <row r="295" spans="1:3" x14ac:dyDescent="0.25">
      <c r="A295" t="s">
        <v>292</v>
      </c>
      <c r="B295">
        <v>30.472999999999999</v>
      </c>
      <c r="C295">
        <v>-87.188000000000002</v>
      </c>
    </row>
    <row r="296" spans="1:3" x14ac:dyDescent="0.25">
      <c r="A296" t="s">
        <v>293</v>
      </c>
      <c r="B296">
        <v>30.071999999999999</v>
      </c>
      <c r="C296">
        <v>-83.573999999999998</v>
      </c>
    </row>
    <row r="297" spans="1:3" x14ac:dyDescent="0.25">
      <c r="A297" t="s">
        <v>294</v>
      </c>
      <c r="B297">
        <v>30.35</v>
      </c>
      <c r="C297">
        <v>-87.316999999999993</v>
      </c>
    </row>
    <row r="298" spans="1:3" x14ac:dyDescent="0.25">
      <c r="A298" t="s">
        <v>295</v>
      </c>
      <c r="B298">
        <v>30.724</v>
      </c>
      <c r="C298">
        <v>-87.022000000000006</v>
      </c>
    </row>
    <row r="299" spans="1:3" x14ac:dyDescent="0.25">
      <c r="A299" t="s">
        <v>296</v>
      </c>
      <c r="B299">
        <v>30.212</v>
      </c>
      <c r="C299">
        <v>-85.683000000000007</v>
      </c>
    </row>
    <row r="300" spans="1:3" x14ac:dyDescent="0.25">
      <c r="A300" t="s">
        <v>297</v>
      </c>
      <c r="B300">
        <v>30.65</v>
      </c>
      <c r="C300">
        <v>-86.516999999999996</v>
      </c>
    </row>
    <row r="301" spans="1:3" x14ac:dyDescent="0.25">
      <c r="A301" t="s">
        <v>298</v>
      </c>
      <c r="B301">
        <v>30.07</v>
      </c>
      <c r="C301">
        <v>-85.575999999999993</v>
      </c>
    </row>
    <row r="302" spans="1:3" x14ac:dyDescent="0.25">
      <c r="A302" t="s">
        <v>299</v>
      </c>
      <c r="B302">
        <v>30.835999999999999</v>
      </c>
      <c r="C302">
        <v>-85.183999999999997</v>
      </c>
    </row>
    <row r="303" spans="1:3" x14ac:dyDescent="0.25">
      <c r="A303" t="s">
        <v>300</v>
      </c>
      <c r="B303">
        <v>30.428999999999998</v>
      </c>
      <c r="C303">
        <v>-86.688999999999993</v>
      </c>
    </row>
    <row r="304" spans="1:3" x14ac:dyDescent="0.25">
      <c r="A304" t="s">
        <v>301</v>
      </c>
      <c r="B304">
        <v>27.849</v>
      </c>
      <c r="C304">
        <v>-82.521000000000001</v>
      </c>
    </row>
    <row r="305" spans="1:3" x14ac:dyDescent="0.25">
      <c r="A305" t="s">
        <v>302</v>
      </c>
      <c r="B305">
        <v>27.65</v>
      </c>
      <c r="C305">
        <v>-80.417000000000002</v>
      </c>
    </row>
    <row r="306" spans="1:3" x14ac:dyDescent="0.25">
      <c r="A306" t="s">
        <v>303</v>
      </c>
      <c r="B306">
        <v>28.466999999999999</v>
      </c>
      <c r="C306">
        <v>-80.55</v>
      </c>
    </row>
    <row r="307" spans="1:3" x14ac:dyDescent="0.25">
      <c r="A307" t="s">
        <v>304</v>
      </c>
      <c r="B307">
        <v>28.617000000000001</v>
      </c>
      <c r="C307">
        <v>-80.7</v>
      </c>
    </row>
    <row r="308" spans="1:3" x14ac:dyDescent="0.25">
      <c r="A308" t="s">
        <v>305</v>
      </c>
      <c r="B308">
        <v>28.614999999999998</v>
      </c>
      <c r="C308">
        <v>-80.694000000000003</v>
      </c>
    </row>
    <row r="309" spans="1:3" x14ac:dyDescent="0.25">
      <c r="A309" t="s">
        <v>306</v>
      </c>
      <c r="B309">
        <v>28.239000000000001</v>
      </c>
      <c r="C309">
        <v>-81.608000000000004</v>
      </c>
    </row>
    <row r="310" spans="1:3" x14ac:dyDescent="0.25">
      <c r="A310" t="s">
        <v>307</v>
      </c>
      <c r="B310">
        <v>27.65</v>
      </c>
      <c r="C310">
        <v>-81.332999999999998</v>
      </c>
    </row>
    <row r="311" spans="1:3" x14ac:dyDescent="0.25">
      <c r="A311" t="s">
        <v>308</v>
      </c>
      <c r="B311">
        <v>32.033000000000001</v>
      </c>
      <c r="C311">
        <v>-81.667000000000002</v>
      </c>
    </row>
    <row r="312" spans="1:3" x14ac:dyDescent="0.25">
      <c r="A312" t="s">
        <v>309</v>
      </c>
      <c r="B312">
        <v>32.119</v>
      </c>
      <c r="C312">
        <v>-81.201999999999998</v>
      </c>
    </row>
    <row r="313" spans="1:3" x14ac:dyDescent="0.25">
      <c r="A313" t="s">
        <v>310</v>
      </c>
      <c r="B313">
        <v>31.888999999999999</v>
      </c>
      <c r="C313">
        <v>-81.561999999999998</v>
      </c>
    </row>
    <row r="314" spans="1:3" x14ac:dyDescent="0.25">
      <c r="A314" t="s">
        <v>311</v>
      </c>
      <c r="B314">
        <v>31.536000000000001</v>
      </c>
      <c r="C314">
        <v>-82.507000000000005</v>
      </c>
    </row>
    <row r="315" spans="1:3" x14ac:dyDescent="0.25">
      <c r="A315" t="s">
        <v>312</v>
      </c>
      <c r="B315">
        <v>31.259</v>
      </c>
      <c r="C315">
        <v>-81.450999999999993</v>
      </c>
    </row>
    <row r="316" spans="1:3" x14ac:dyDescent="0.25">
      <c r="A316" t="s">
        <v>313</v>
      </c>
      <c r="B316">
        <v>31.251999999999999</v>
      </c>
      <c r="C316">
        <v>-81.391000000000005</v>
      </c>
    </row>
    <row r="317" spans="1:3" x14ac:dyDescent="0.25">
      <c r="A317" t="s">
        <v>314</v>
      </c>
      <c r="B317">
        <v>34.122999999999998</v>
      </c>
      <c r="C317">
        <v>-84.849000000000004</v>
      </c>
    </row>
    <row r="318" spans="1:3" x14ac:dyDescent="0.25">
      <c r="A318" t="s">
        <v>315</v>
      </c>
      <c r="B318">
        <v>31.536000000000001</v>
      </c>
      <c r="C318">
        <v>-84.194000000000003</v>
      </c>
    </row>
    <row r="319" spans="1:3" x14ac:dyDescent="0.25">
      <c r="A319" t="s">
        <v>316</v>
      </c>
      <c r="B319">
        <v>30.783000000000001</v>
      </c>
      <c r="C319">
        <v>-83.277000000000001</v>
      </c>
    </row>
    <row r="320" spans="1:3" x14ac:dyDescent="0.25">
      <c r="A320" t="s">
        <v>317</v>
      </c>
      <c r="B320">
        <v>32.688000000000002</v>
      </c>
      <c r="C320">
        <v>-83.653999999999996</v>
      </c>
    </row>
    <row r="321" spans="1:3" x14ac:dyDescent="0.25">
      <c r="A321" t="s">
        <v>318</v>
      </c>
      <c r="B321">
        <v>32.64</v>
      </c>
      <c r="C321">
        <v>-83.591999999999999</v>
      </c>
    </row>
    <row r="322" spans="1:3" x14ac:dyDescent="0.25">
      <c r="A322" t="s">
        <v>319</v>
      </c>
      <c r="B322">
        <v>33.369999999999997</v>
      </c>
      <c r="C322">
        <v>-81.965000000000003</v>
      </c>
    </row>
    <row r="323" spans="1:3" x14ac:dyDescent="0.25">
      <c r="A323" t="s">
        <v>320</v>
      </c>
      <c r="B323">
        <v>33.466999999999999</v>
      </c>
      <c r="C323">
        <v>-82.039000000000001</v>
      </c>
    </row>
    <row r="324" spans="1:3" x14ac:dyDescent="0.25">
      <c r="A324" t="s">
        <v>321</v>
      </c>
      <c r="B324">
        <v>34.271999999999998</v>
      </c>
      <c r="C324">
        <v>-83.83</v>
      </c>
    </row>
    <row r="325" spans="1:3" x14ac:dyDescent="0.25">
      <c r="A325" t="s">
        <v>322</v>
      </c>
      <c r="B325">
        <v>33.64</v>
      </c>
      <c r="C325">
        <v>-84.427000000000007</v>
      </c>
    </row>
    <row r="326" spans="1:3" x14ac:dyDescent="0.25">
      <c r="A326" t="s">
        <v>323</v>
      </c>
      <c r="B326">
        <v>33.779000000000003</v>
      </c>
      <c r="C326">
        <v>-84.521000000000001</v>
      </c>
    </row>
    <row r="327" spans="1:3" x14ac:dyDescent="0.25">
      <c r="A327" t="s">
        <v>324</v>
      </c>
      <c r="B327">
        <v>33.875</v>
      </c>
      <c r="C327">
        <v>-84.302000000000007</v>
      </c>
    </row>
    <row r="328" spans="1:3" x14ac:dyDescent="0.25">
      <c r="A328" t="s">
        <v>325</v>
      </c>
      <c r="B328">
        <v>33.354999999999997</v>
      </c>
      <c r="C328">
        <v>-84.566999999999993</v>
      </c>
    </row>
    <row r="329" spans="1:3" x14ac:dyDescent="0.25">
      <c r="A329" t="s">
        <v>326</v>
      </c>
      <c r="B329">
        <v>32.338000000000001</v>
      </c>
      <c r="C329">
        <v>-84.992000000000004</v>
      </c>
    </row>
    <row r="330" spans="1:3" x14ac:dyDescent="0.25">
      <c r="A330" t="s">
        <v>327</v>
      </c>
      <c r="B330">
        <v>32.515999999999998</v>
      </c>
      <c r="C330">
        <v>-84.941999999999993</v>
      </c>
    </row>
    <row r="331" spans="1:3" x14ac:dyDescent="0.25">
      <c r="A331" t="s">
        <v>328</v>
      </c>
      <c r="B331">
        <v>33.914999999999999</v>
      </c>
      <c r="C331">
        <v>-84.516000000000005</v>
      </c>
    </row>
    <row r="332" spans="1:3" x14ac:dyDescent="0.25">
      <c r="A332" t="s">
        <v>329</v>
      </c>
      <c r="B332">
        <v>33.948</v>
      </c>
      <c r="C332">
        <v>-83.326999999999998</v>
      </c>
    </row>
    <row r="333" spans="1:3" x14ac:dyDescent="0.25">
      <c r="A333" t="s">
        <v>330</v>
      </c>
      <c r="B333">
        <v>34.347999999999999</v>
      </c>
      <c r="C333">
        <v>-85.161000000000001</v>
      </c>
    </row>
    <row r="334" spans="1:3" x14ac:dyDescent="0.25">
      <c r="A334" t="s">
        <v>331</v>
      </c>
      <c r="B334">
        <v>32.01</v>
      </c>
      <c r="C334">
        <v>-81.146000000000001</v>
      </c>
    </row>
    <row r="335" spans="1:3" x14ac:dyDescent="0.25">
      <c r="A335" t="s">
        <v>332</v>
      </c>
      <c r="B335">
        <v>30.968</v>
      </c>
      <c r="C335">
        <v>-83.192999999999998</v>
      </c>
    </row>
    <row r="336" spans="1:3" x14ac:dyDescent="0.25">
      <c r="A336" t="s">
        <v>333</v>
      </c>
      <c r="B336">
        <v>28.204000000000001</v>
      </c>
      <c r="C336">
        <v>-177.37899999999999</v>
      </c>
    </row>
    <row r="337" spans="1:3" x14ac:dyDescent="0.25">
      <c r="A337" t="s">
        <v>334</v>
      </c>
      <c r="B337">
        <v>23.867000000000001</v>
      </c>
      <c r="C337">
        <v>-166.28299999999999</v>
      </c>
    </row>
    <row r="338" spans="1:3" x14ac:dyDescent="0.25">
      <c r="A338" t="s">
        <v>335</v>
      </c>
      <c r="B338">
        <v>22.024999999999999</v>
      </c>
      <c r="C338">
        <v>-159.78899999999999</v>
      </c>
    </row>
    <row r="339" spans="1:3" x14ac:dyDescent="0.25">
      <c r="A339" t="s">
        <v>336</v>
      </c>
      <c r="B339">
        <v>21.978999999999999</v>
      </c>
      <c r="C339">
        <v>-159.34100000000001</v>
      </c>
    </row>
    <row r="340" spans="1:3" x14ac:dyDescent="0.25">
      <c r="A340" t="s">
        <v>337</v>
      </c>
      <c r="B340">
        <v>21.484999999999999</v>
      </c>
      <c r="C340">
        <v>-158.04</v>
      </c>
    </row>
    <row r="341" spans="1:3" x14ac:dyDescent="0.25">
      <c r="A341" t="s">
        <v>338</v>
      </c>
      <c r="B341">
        <v>21.451000000000001</v>
      </c>
      <c r="C341">
        <v>-157.768</v>
      </c>
    </row>
    <row r="342" spans="1:3" x14ac:dyDescent="0.25">
      <c r="A342" t="s">
        <v>339</v>
      </c>
      <c r="B342">
        <v>21.3</v>
      </c>
      <c r="C342">
        <v>-158.06700000000001</v>
      </c>
    </row>
    <row r="343" spans="1:3" x14ac:dyDescent="0.25">
      <c r="A343" t="s">
        <v>340</v>
      </c>
      <c r="B343">
        <v>21.327999999999999</v>
      </c>
      <c r="C343">
        <v>-157.94300000000001</v>
      </c>
    </row>
    <row r="344" spans="1:3" x14ac:dyDescent="0.25">
      <c r="A344" t="s">
        <v>341</v>
      </c>
      <c r="B344">
        <v>21.157</v>
      </c>
      <c r="C344">
        <v>-157.09899999999999</v>
      </c>
    </row>
    <row r="345" spans="1:3" x14ac:dyDescent="0.25">
      <c r="A345" t="s">
        <v>342</v>
      </c>
      <c r="B345">
        <v>20.917000000000002</v>
      </c>
      <c r="C345">
        <v>-156.68299999999999</v>
      </c>
    </row>
    <row r="346" spans="1:3" x14ac:dyDescent="0.25">
      <c r="A346" t="s">
        <v>343</v>
      </c>
      <c r="B346">
        <v>20.902000000000001</v>
      </c>
      <c r="C346">
        <v>-156.43299999999999</v>
      </c>
    </row>
    <row r="347" spans="1:3" x14ac:dyDescent="0.25">
      <c r="A347" t="s">
        <v>344</v>
      </c>
      <c r="B347">
        <v>20.786000000000001</v>
      </c>
      <c r="C347">
        <v>-156.95099999999999</v>
      </c>
    </row>
    <row r="348" spans="1:3" x14ac:dyDescent="0.25">
      <c r="A348" t="s">
        <v>345</v>
      </c>
      <c r="B348">
        <v>19.736000000000001</v>
      </c>
      <c r="C348">
        <v>-156.04900000000001</v>
      </c>
    </row>
    <row r="349" spans="1:3" x14ac:dyDescent="0.25">
      <c r="A349" t="s">
        <v>346</v>
      </c>
      <c r="B349">
        <v>20</v>
      </c>
      <c r="C349">
        <v>-155.667</v>
      </c>
    </row>
    <row r="350" spans="1:3" x14ac:dyDescent="0.25">
      <c r="A350" t="s">
        <v>347</v>
      </c>
      <c r="B350">
        <v>19.753</v>
      </c>
      <c r="C350">
        <v>-155.55699999999999</v>
      </c>
    </row>
    <row r="351" spans="1:3" x14ac:dyDescent="0.25">
      <c r="A351" t="s">
        <v>348</v>
      </c>
      <c r="B351">
        <v>19.722999999999999</v>
      </c>
      <c r="C351">
        <v>-155.05099999999999</v>
      </c>
    </row>
    <row r="352" spans="1:3" x14ac:dyDescent="0.25">
      <c r="A352" t="s">
        <v>349</v>
      </c>
      <c r="B352">
        <v>41.613999999999997</v>
      </c>
      <c r="C352">
        <v>-90.590999999999994</v>
      </c>
    </row>
    <row r="353" spans="1:3" x14ac:dyDescent="0.25">
      <c r="A353" t="s">
        <v>350</v>
      </c>
      <c r="B353">
        <v>41.884</v>
      </c>
      <c r="C353">
        <v>-91.709000000000003</v>
      </c>
    </row>
    <row r="354" spans="1:3" x14ac:dyDescent="0.25">
      <c r="A354" t="s">
        <v>351</v>
      </c>
      <c r="B354">
        <v>40.783000000000001</v>
      </c>
      <c r="C354">
        <v>-91.125</v>
      </c>
    </row>
    <row r="355" spans="1:3" x14ac:dyDescent="0.25">
      <c r="A355" t="s">
        <v>352</v>
      </c>
      <c r="B355">
        <v>41.537999999999997</v>
      </c>
      <c r="C355">
        <v>-93.665999999999997</v>
      </c>
    </row>
    <row r="356" spans="1:3" x14ac:dyDescent="0.25">
      <c r="A356" t="s">
        <v>353</v>
      </c>
      <c r="B356">
        <v>42.113</v>
      </c>
      <c r="C356">
        <v>-92.918000000000006</v>
      </c>
    </row>
    <row r="357" spans="1:3" x14ac:dyDescent="0.25">
      <c r="A357" t="s">
        <v>354</v>
      </c>
      <c r="B357">
        <v>41.633000000000003</v>
      </c>
      <c r="C357">
        <v>-91.543000000000006</v>
      </c>
    </row>
    <row r="358" spans="1:3" x14ac:dyDescent="0.25">
      <c r="A358" t="s">
        <v>355</v>
      </c>
      <c r="B358">
        <v>41.106999999999999</v>
      </c>
      <c r="C358">
        <v>-92.447999999999993</v>
      </c>
    </row>
    <row r="359" spans="1:3" x14ac:dyDescent="0.25">
      <c r="A359" t="s">
        <v>356</v>
      </c>
      <c r="B359">
        <v>42.398000000000003</v>
      </c>
      <c r="C359">
        <v>-90.703999999999994</v>
      </c>
    </row>
    <row r="360" spans="1:3" x14ac:dyDescent="0.25">
      <c r="A360" t="s">
        <v>357</v>
      </c>
      <c r="B360">
        <v>41.991999999999997</v>
      </c>
      <c r="C360">
        <v>-93.622</v>
      </c>
    </row>
    <row r="361" spans="1:3" x14ac:dyDescent="0.25">
      <c r="A361" t="s">
        <v>358</v>
      </c>
      <c r="B361">
        <v>42.554000000000002</v>
      </c>
      <c r="C361">
        <v>-92.400999999999996</v>
      </c>
    </row>
    <row r="362" spans="1:3" x14ac:dyDescent="0.25">
      <c r="A362" t="s">
        <v>359</v>
      </c>
      <c r="B362">
        <v>43.158000000000001</v>
      </c>
      <c r="C362">
        <v>-93.331000000000003</v>
      </c>
    </row>
    <row r="363" spans="1:3" x14ac:dyDescent="0.25">
      <c r="A363" t="s">
        <v>360</v>
      </c>
      <c r="B363">
        <v>40.633000000000003</v>
      </c>
      <c r="C363">
        <v>-93.902000000000001</v>
      </c>
    </row>
    <row r="364" spans="1:3" x14ac:dyDescent="0.25">
      <c r="A364" t="s">
        <v>361</v>
      </c>
      <c r="B364">
        <v>42.390999999999998</v>
      </c>
      <c r="C364">
        <v>-96.379000000000005</v>
      </c>
    </row>
    <row r="365" spans="1:3" x14ac:dyDescent="0.25">
      <c r="A365" t="s">
        <v>362</v>
      </c>
      <c r="B365">
        <v>43.408000000000001</v>
      </c>
      <c r="C365">
        <v>-94.745999999999995</v>
      </c>
    </row>
    <row r="366" spans="1:3" x14ac:dyDescent="0.25">
      <c r="A366" t="s">
        <v>363</v>
      </c>
      <c r="B366">
        <v>43.164000000000001</v>
      </c>
      <c r="C366">
        <v>-95.201999999999998</v>
      </c>
    </row>
    <row r="367" spans="1:3" x14ac:dyDescent="0.25">
      <c r="A367" t="s">
        <v>364</v>
      </c>
      <c r="B367">
        <v>43.743000000000002</v>
      </c>
      <c r="C367">
        <v>-111.098</v>
      </c>
    </row>
    <row r="368" spans="1:3" x14ac:dyDescent="0.25">
      <c r="A368" t="s">
        <v>365</v>
      </c>
      <c r="B368">
        <v>44.517000000000003</v>
      </c>
      <c r="C368">
        <v>-114.217</v>
      </c>
    </row>
    <row r="369" spans="1:3" x14ac:dyDescent="0.25">
      <c r="A369" t="s">
        <v>366</v>
      </c>
      <c r="B369">
        <v>42.92</v>
      </c>
      <c r="C369">
        <v>-112.571</v>
      </c>
    </row>
    <row r="370" spans="1:3" x14ac:dyDescent="0.25">
      <c r="A370" t="s">
        <v>367</v>
      </c>
      <c r="B370">
        <v>46.143999999999998</v>
      </c>
      <c r="C370">
        <v>-115.596</v>
      </c>
    </row>
    <row r="371" spans="1:3" x14ac:dyDescent="0.25">
      <c r="A371" t="s">
        <v>368</v>
      </c>
      <c r="B371">
        <v>43.515999999999998</v>
      </c>
      <c r="C371">
        <v>-112.06699999999999</v>
      </c>
    </row>
    <row r="372" spans="1:3" x14ac:dyDescent="0.25">
      <c r="A372" t="s">
        <v>369</v>
      </c>
      <c r="B372">
        <v>44.883000000000003</v>
      </c>
      <c r="C372">
        <v>-116.1</v>
      </c>
    </row>
    <row r="373" spans="1:3" x14ac:dyDescent="0.25">
      <c r="A373" t="s">
        <v>370</v>
      </c>
      <c r="B373">
        <v>43.503999999999998</v>
      </c>
      <c r="C373">
        <v>-114.29600000000001</v>
      </c>
    </row>
    <row r="374" spans="1:3" x14ac:dyDescent="0.25">
      <c r="A374" t="s">
        <v>371</v>
      </c>
      <c r="B374">
        <v>42.481999999999999</v>
      </c>
      <c r="C374">
        <v>-114.48699999999999</v>
      </c>
    </row>
    <row r="375" spans="1:3" x14ac:dyDescent="0.25">
      <c r="A375" t="s">
        <v>372</v>
      </c>
      <c r="B375">
        <v>42.542999999999999</v>
      </c>
      <c r="C375">
        <v>-113.77200000000001</v>
      </c>
    </row>
    <row r="376" spans="1:3" x14ac:dyDescent="0.25">
      <c r="A376" t="s">
        <v>373</v>
      </c>
      <c r="B376">
        <v>43.564999999999998</v>
      </c>
      <c r="C376">
        <v>-116.22</v>
      </c>
    </row>
    <row r="377" spans="1:3" x14ac:dyDescent="0.25">
      <c r="A377" t="s">
        <v>374</v>
      </c>
      <c r="B377">
        <v>43.043999999999997</v>
      </c>
      <c r="C377">
        <v>-115.873</v>
      </c>
    </row>
    <row r="378" spans="1:3" x14ac:dyDescent="0.25">
      <c r="A378" t="s">
        <v>375</v>
      </c>
      <c r="B378">
        <v>42.726999999999997</v>
      </c>
      <c r="C378">
        <v>-114.456</v>
      </c>
    </row>
    <row r="379" spans="1:3" x14ac:dyDescent="0.25">
      <c r="A379" t="s">
        <v>376</v>
      </c>
      <c r="B379">
        <v>47.457000000000001</v>
      </c>
      <c r="C379">
        <v>-115.645</v>
      </c>
    </row>
    <row r="380" spans="1:3" x14ac:dyDescent="0.25">
      <c r="A380" t="s">
        <v>377</v>
      </c>
      <c r="B380">
        <v>43.834000000000003</v>
      </c>
      <c r="C380">
        <v>-111.881</v>
      </c>
    </row>
    <row r="381" spans="1:3" x14ac:dyDescent="0.25">
      <c r="A381" t="s">
        <v>378</v>
      </c>
      <c r="B381">
        <v>44.170999999999999</v>
      </c>
      <c r="C381">
        <v>-114.92700000000001</v>
      </c>
    </row>
    <row r="382" spans="1:3" x14ac:dyDescent="0.25">
      <c r="A382" t="s">
        <v>379</v>
      </c>
      <c r="B382">
        <v>46.375</v>
      </c>
      <c r="C382">
        <v>-117.014</v>
      </c>
    </row>
    <row r="383" spans="1:3" x14ac:dyDescent="0.25">
      <c r="A383" t="s">
        <v>380</v>
      </c>
      <c r="B383">
        <v>41.932000000000002</v>
      </c>
      <c r="C383">
        <v>-88.700999999999993</v>
      </c>
    </row>
    <row r="384" spans="1:3" x14ac:dyDescent="0.25">
      <c r="A384" t="s">
        <v>381</v>
      </c>
      <c r="B384">
        <v>40.198999999999998</v>
      </c>
      <c r="C384">
        <v>-87.584000000000003</v>
      </c>
    </row>
    <row r="385" spans="1:3" x14ac:dyDescent="0.25">
      <c r="A385" t="s">
        <v>382</v>
      </c>
      <c r="B385">
        <v>37.78</v>
      </c>
      <c r="C385">
        <v>-89.25</v>
      </c>
    </row>
    <row r="386" spans="1:3" x14ac:dyDescent="0.25">
      <c r="A386" t="s">
        <v>383</v>
      </c>
      <c r="B386">
        <v>38.545000000000002</v>
      </c>
      <c r="C386">
        <v>-89.834999999999994</v>
      </c>
    </row>
    <row r="387" spans="1:3" x14ac:dyDescent="0.25">
      <c r="A387" t="s">
        <v>384</v>
      </c>
      <c r="B387">
        <v>39.844999999999999</v>
      </c>
      <c r="C387">
        <v>-89.683999999999997</v>
      </c>
    </row>
    <row r="388" spans="1:3" x14ac:dyDescent="0.25">
      <c r="A388" t="s">
        <v>385</v>
      </c>
      <c r="B388">
        <v>38.89</v>
      </c>
      <c r="C388">
        <v>-90.046000000000006</v>
      </c>
    </row>
    <row r="389" spans="1:3" x14ac:dyDescent="0.25">
      <c r="A389" t="s">
        <v>386</v>
      </c>
      <c r="B389">
        <v>39.942999999999998</v>
      </c>
      <c r="C389">
        <v>-91.194000000000003</v>
      </c>
    </row>
    <row r="390" spans="1:3" x14ac:dyDescent="0.25">
      <c r="A390" t="s">
        <v>387</v>
      </c>
      <c r="B390">
        <v>40.478000000000002</v>
      </c>
      <c r="C390">
        <v>-88.915999999999997</v>
      </c>
    </row>
    <row r="391" spans="1:3" x14ac:dyDescent="0.25">
      <c r="A391" t="s">
        <v>388</v>
      </c>
      <c r="B391">
        <v>40.200000000000003</v>
      </c>
      <c r="C391">
        <v>-87.6</v>
      </c>
    </row>
    <row r="392" spans="1:3" x14ac:dyDescent="0.25">
      <c r="A392" t="s">
        <v>389</v>
      </c>
      <c r="B392">
        <v>41.985999999999997</v>
      </c>
      <c r="C392">
        <v>-87.914000000000001</v>
      </c>
    </row>
    <row r="393" spans="1:3" x14ac:dyDescent="0.25">
      <c r="A393" t="s">
        <v>390</v>
      </c>
      <c r="B393">
        <v>41.914000000000001</v>
      </c>
      <c r="C393">
        <v>-88.245999999999995</v>
      </c>
    </row>
    <row r="394" spans="1:3" x14ac:dyDescent="0.25">
      <c r="A394" t="s">
        <v>391</v>
      </c>
      <c r="B394">
        <v>42.082999999999998</v>
      </c>
      <c r="C394">
        <v>-87.816999999999993</v>
      </c>
    </row>
    <row r="395" spans="1:3" x14ac:dyDescent="0.25">
      <c r="A395" t="s">
        <v>392</v>
      </c>
      <c r="B395">
        <v>38.570999999999998</v>
      </c>
      <c r="C395">
        <v>-90.156999999999996</v>
      </c>
    </row>
    <row r="396" spans="1:3" x14ac:dyDescent="0.25">
      <c r="A396" t="s">
        <v>393</v>
      </c>
      <c r="B396">
        <v>40.04</v>
      </c>
      <c r="C396">
        <v>-88.278000000000006</v>
      </c>
    </row>
    <row r="397" spans="1:3" x14ac:dyDescent="0.25">
      <c r="A397" t="s">
        <v>394</v>
      </c>
      <c r="B397">
        <v>39.984000000000002</v>
      </c>
      <c r="C397">
        <v>-88.866</v>
      </c>
    </row>
    <row r="398" spans="1:3" x14ac:dyDescent="0.25">
      <c r="A398" t="s">
        <v>395</v>
      </c>
      <c r="B398">
        <v>39.478000000000002</v>
      </c>
      <c r="C398">
        <v>-88.28</v>
      </c>
    </row>
    <row r="399" spans="1:3" x14ac:dyDescent="0.25">
      <c r="A399" t="s">
        <v>396</v>
      </c>
      <c r="B399">
        <v>40.667999999999999</v>
      </c>
      <c r="C399">
        <v>-89.683999999999997</v>
      </c>
    </row>
    <row r="400" spans="1:3" x14ac:dyDescent="0.25">
      <c r="A400" t="s">
        <v>397</v>
      </c>
      <c r="B400">
        <v>41.786000000000001</v>
      </c>
      <c r="C400">
        <v>-87.751999999999995</v>
      </c>
    </row>
    <row r="401" spans="1:3" x14ac:dyDescent="0.25">
      <c r="A401" t="s">
        <v>398</v>
      </c>
      <c r="B401">
        <v>38.764000000000003</v>
      </c>
      <c r="C401">
        <v>-87.605999999999995</v>
      </c>
    </row>
    <row r="402" spans="1:3" x14ac:dyDescent="0.25">
      <c r="A402" t="s">
        <v>399</v>
      </c>
      <c r="B402">
        <v>41.866999999999997</v>
      </c>
      <c r="C402">
        <v>-87.6</v>
      </c>
    </row>
    <row r="403" spans="1:3" x14ac:dyDescent="0.25">
      <c r="A403" t="s">
        <v>400</v>
      </c>
      <c r="B403">
        <v>42.421999999999997</v>
      </c>
      <c r="C403">
        <v>-87.867999999999995</v>
      </c>
    </row>
    <row r="404" spans="1:3" x14ac:dyDescent="0.25">
      <c r="A404" t="s">
        <v>401</v>
      </c>
      <c r="B404">
        <v>42.195999999999998</v>
      </c>
      <c r="C404">
        <v>-89.093000000000004</v>
      </c>
    </row>
    <row r="405" spans="1:3" x14ac:dyDescent="0.25">
      <c r="A405" t="s">
        <v>402</v>
      </c>
      <c r="B405">
        <v>41.465000000000003</v>
      </c>
      <c r="C405">
        <v>-90.522999999999996</v>
      </c>
    </row>
    <row r="406" spans="1:3" x14ac:dyDescent="0.25">
      <c r="A406" t="s">
        <v>403</v>
      </c>
      <c r="B406">
        <v>41.77</v>
      </c>
      <c r="C406">
        <v>-88.480999999999995</v>
      </c>
    </row>
    <row r="407" spans="1:3" x14ac:dyDescent="0.25">
      <c r="A407" t="s">
        <v>404</v>
      </c>
      <c r="B407">
        <v>42.121000000000002</v>
      </c>
      <c r="C407">
        <v>-87.905000000000001</v>
      </c>
    </row>
    <row r="408" spans="1:3" x14ac:dyDescent="0.25">
      <c r="A408" t="s">
        <v>405</v>
      </c>
      <c r="B408">
        <v>38.042999999999999</v>
      </c>
      <c r="C408">
        <v>-87.537000000000006</v>
      </c>
    </row>
    <row r="409" spans="1:3" x14ac:dyDescent="0.25">
      <c r="A409" t="s">
        <v>406</v>
      </c>
      <c r="B409">
        <v>39.578000000000003</v>
      </c>
      <c r="C409">
        <v>-85.802999999999997</v>
      </c>
    </row>
    <row r="410" spans="1:3" x14ac:dyDescent="0.25">
      <c r="A410" t="s">
        <v>407</v>
      </c>
      <c r="B410">
        <v>39.262</v>
      </c>
      <c r="C410">
        <v>-85.896000000000001</v>
      </c>
    </row>
    <row r="411" spans="1:3" x14ac:dyDescent="0.25">
      <c r="A411" t="s">
        <v>408</v>
      </c>
      <c r="B411">
        <v>39.450000000000003</v>
      </c>
      <c r="C411">
        <v>-87.3</v>
      </c>
    </row>
    <row r="412" spans="1:3" x14ac:dyDescent="0.25">
      <c r="A412" t="s">
        <v>409</v>
      </c>
      <c r="B412">
        <v>39.450000000000003</v>
      </c>
      <c r="C412">
        <v>-87.3</v>
      </c>
    </row>
    <row r="413" spans="1:3" x14ac:dyDescent="0.25">
      <c r="A413" t="s">
        <v>410</v>
      </c>
      <c r="B413">
        <v>39.450000000000003</v>
      </c>
      <c r="C413">
        <v>-87.3</v>
      </c>
    </row>
    <row r="414" spans="1:3" x14ac:dyDescent="0.25">
      <c r="A414" t="s">
        <v>411</v>
      </c>
      <c r="B414">
        <v>39.143999999999998</v>
      </c>
      <c r="C414">
        <v>-86.617000000000004</v>
      </c>
    </row>
    <row r="415" spans="1:3" x14ac:dyDescent="0.25">
      <c r="A415" t="s">
        <v>412</v>
      </c>
      <c r="B415">
        <v>39.71</v>
      </c>
      <c r="C415">
        <v>-86.272000000000006</v>
      </c>
    </row>
    <row r="416" spans="1:3" x14ac:dyDescent="0.25">
      <c r="A416" t="s">
        <v>413</v>
      </c>
      <c r="B416">
        <v>39.825000000000003</v>
      </c>
      <c r="C416">
        <v>-86.296000000000006</v>
      </c>
    </row>
    <row r="417" spans="1:3" x14ac:dyDescent="0.25">
      <c r="A417" t="s">
        <v>414</v>
      </c>
      <c r="B417">
        <v>40.411999999999999</v>
      </c>
      <c r="C417">
        <v>-86.936999999999998</v>
      </c>
    </row>
    <row r="418" spans="1:3" x14ac:dyDescent="0.25">
      <c r="A418" t="s">
        <v>415</v>
      </c>
      <c r="B418">
        <v>41.527000000000001</v>
      </c>
      <c r="C418">
        <v>-85.792000000000002</v>
      </c>
    </row>
    <row r="419" spans="1:3" x14ac:dyDescent="0.25">
      <c r="A419" t="s">
        <v>416</v>
      </c>
      <c r="B419">
        <v>41.453000000000003</v>
      </c>
      <c r="C419">
        <v>-87.006</v>
      </c>
    </row>
    <row r="420" spans="1:3" x14ac:dyDescent="0.25">
      <c r="A420" t="s">
        <v>417</v>
      </c>
      <c r="B420">
        <v>41.006</v>
      </c>
      <c r="C420">
        <v>-85.206000000000003</v>
      </c>
    </row>
    <row r="421" spans="1:3" x14ac:dyDescent="0.25">
      <c r="A421" t="s">
        <v>418</v>
      </c>
      <c r="B421">
        <v>40.648000000000003</v>
      </c>
      <c r="C421">
        <v>-86.152000000000001</v>
      </c>
    </row>
    <row r="422" spans="1:3" x14ac:dyDescent="0.25">
      <c r="A422" t="s">
        <v>419</v>
      </c>
      <c r="B422">
        <v>40.234000000000002</v>
      </c>
      <c r="C422">
        <v>-85.394000000000005</v>
      </c>
    </row>
    <row r="423" spans="1:3" x14ac:dyDescent="0.25">
      <c r="A423" t="s">
        <v>420</v>
      </c>
      <c r="B423">
        <v>41.707000000000001</v>
      </c>
      <c r="C423">
        <v>-86.332999999999998</v>
      </c>
    </row>
    <row r="424" spans="1:3" x14ac:dyDescent="0.25">
      <c r="A424" t="s">
        <v>421</v>
      </c>
      <c r="B424">
        <v>41.719000000000001</v>
      </c>
      <c r="C424">
        <v>-86.001999999999995</v>
      </c>
    </row>
    <row r="425" spans="1:3" x14ac:dyDescent="0.25">
      <c r="A425" t="s">
        <v>422</v>
      </c>
      <c r="B425">
        <v>36.854999999999997</v>
      </c>
      <c r="C425">
        <v>-84.855999999999995</v>
      </c>
    </row>
    <row r="426" spans="1:3" x14ac:dyDescent="0.25">
      <c r="A426" t="s">
        <v>423</v>
      </c>
      <c r="B426">
        <v>39.042999999999999</v>
      </c>
      <c r="C426">
        <v>-84.671999999999997</v>
      </c>
    </row>
    <row r="427" spans="1:3" x14ac:dyDescent="0.25">
      <c r="A427" t="s">
        <v>424</v>
      </c>
      <c r="B427">
        <v>38.040999999999997</v>
      </c>
      <c r="C427">
        <v>-84.605999999999995</v>
      </c>
    </row>
    <row r="428" spans="1:3" x14ac:dyDescent="0.25">
      <c r="A428" t="s">
        <v>425</v>
      </c>
      <c r="B428">
        <v>38.177</v>
      </c>
      <c r="C428">
        <v>-85.73</v>
      </c>
    </row>
    <row r="429" spans="1:3" x14ac:dyDescent="0.25">
      <c r="A429" t="s">
        <v>426</v>
      </c>
      <c r="B429">
        <v>38.185000000000002</v>
      </c>
      <c r="C429">
        <v>-84.903000000000006</v>
      </c>
    </row>
    <row r="430" spans="1:3" x14ac:dyDescent="0.25">
      <c r="A430" t="s">
        <v>427</v>
      </c>
      <c r="B430">
        <v>38.228000000000002</v>
      </c>
      <c r="C430">
        <v>-85.664000000000001</v>
      </c>
    </row>
    <row r="431" spans="1:3" x14ac:dyDescent="0.25">
      <c r="A431" t="s">
        <v>428</v>
      </c>
      <c r="B431">
        <v>37.74</v>
      </c>
      <c r="C431">
        <v>-87.167000000000002</v>
      </c>
    </row>
    <row r="432" spans="1:3" x14ac:dyDescent="0.25">
      <c r="A432" t="s">
        <v>429</v>
      </c>
      <c r="B432">
        <v>37.906999999999996</v>
      </c>
      <c r="C432">
        <v>-85.971999999999994</v>
      </c>
    </row>
    <row r="433" spans="1:3" x14ac:dyDescent="0.25">
      <c r="A433" t="s">
        <v>430</v>
      </c>
      <c r="B433">
        <v>37.087000000000003</v>
      </c>
      <c r="C433">
        <v>-84.076999999999998</v>
      </c>
    </row>
    <row r="434" spans="1:3" x14ac:dyDescent="0.25">
      <c r="A434" t="s">
        <v>431</v>
      </c>
      <c r="B434">
        <v>37.055999999999997</v>
      </c>
      <c r="C434">
        <v>-88.774000000000001</v>
      </c>
    </row>
    <row r="435" spans="1:3" x14ac:dyDescent="0.25">
      <c r="A435" t="s">
        <v>432</v>
      </c>
      <c r="B435">
        <v>36.673000000000002</v>
      </c>
      <c r="C435">
        <v>-87.492000000000004</v>
      </c>
    </row>
    <row r="436" spans="1:3" x14ac:dyDescent="0.25">
      <c r="A436" t="s">
        <v>433</v>
      </c>
      <c r="B436">
        <v>37.055999999999997</v>
      </c>
      <c r="C436">
        <v>-88.774000000000001</v>
      </c>
    </row>
    <row r="437" spans="1:3" x14ac:dyDescent="0.25">
      <c r="A437" t="s">
        <v>434</v>
      </c>
      <c r="B437">
        <v>36.981000000000002</v>
      </c>
      <c r="C437">
        <v>-86.436000000000007</v>
      </c>
    </row>
    <row r="438" spans="1:3" x14ac:dyDescent="0.25">
      <c r="A438" t="s">
        <v>435</v>
      </c>
      <c r="B438">
        <v>29.992999999999999</v>
      </c>
      <c r="C438">
        <v>-90.251000000000005</v>
      </c>
    </row>
    <row r="439" spans="1:3" x14ac:dyDescent="0.25">
      <c r="A439" t="s">
        <v>436</v>
      </c>
      <c r="B439">
        <v>30.033000000000001</v>
      </c>
      <c r="C439">
        <v>-91.882999999999996</v>
      </c>
    </row>
    <row r="440" spans="1:3" x14ac:dyDescent="0.25">
      <c r="A440" t="s">
        <v>437</v>
      </c>
      <c r="B440">
        <v>30.042999999999999</v>
      </c>
      <c r="C440">
        <v>-90.028000000000006</v>
      </c>
    </row>
    <row r="441" spans="1:3" x14ac:dyDescent="0.25">
      <c r="A441" t="s">
        <v>438</v>
      </c>
      <c r="B441">
        <v>30.536999999999999</v>
      </c>
      <c r="C441">
        <v>-91.147000000000006</v>
      </c>
    </row>
    <row r="442" spans="1:3" x14ac:dyDescent="0.25">
      <c r="A442" t="s">
        <v>439</v>
      </c>
      <c r="B442">
        <v>29.35</v>
      </c>
      <c r="C442">
        <v>-89.408000000000001</v>
      </c>
    </row>
    <row r="443" spans="1:3" x14ac:dyDescent="0.25">
      <c r="A443" t="s">
        <v>440</v>
      </c>
      <c r="B443">
        <v>30.344999999999999</v>
      </c>
      <c r="C443">
        <v>-89.820999999999998</v>
      </c>
    </row>
    <row r="444" spans="1:3" x14ac:dyDescent="0.25">
      <c r="A444" t="s">
        <v>441</v>
      </c>
      <c r="B444">
        <v>31.045000000000002</v>
      </c>
      <c r="C444">
        <v>-93.191999999999993</v>
      </c>
    </row>
    <row r="445" spans="1:3" x14ac:dyDescent="0.25">
      <c r="A445" t="s">
        <v>442</v>
      </c>
      <c r="B445">
        <v>30.125</v>
      </c>
      <c r="C445">
        <v>-93.227999999999994</v>
      </c>
    </row>
    <row r="446" spans="1:3" x14ac:dyDescent="0.25">
      <c r="A446" t="s">
        <v>443</v>
      </c>
      <c r="B446">
        <v>29.562000000000001</v>
      </c>
      <c r="C446">
        <v>-91.525999999999996</v>
      </c>
    </row>
    <row r="447" spans="1:3" x14ac:dyDescent="0.25">
      <c r="A447" t="s">
        <v>444</v>
      </c>
      <c r="B447">
        <v>30.204999999999998</v>
      </c>
      <c r="C447">
        <v>-91.988</v>
      </c>
    </row>
    <row r="448" spans="1:3" x14ac:dyDescent="0.25">
      <c r="A448" t="s">
        <v>445</v>
      </c>
      <c r="B448">
        <v>28</v>
      </c>
      <c r="C448">
        <v>-93</v>
      </c>
    </row>
    <row r="449" spans="1:3" x14ac:dyDescent="0.25">
      <c r="A449" t="s">
        <v>446</v>
      </c>
      <c r="B449">
        <v>32.447000000000003</v>
      </c>
      <c r="C449">
        <v>-93.823999999999998</v>
      </c>
    </row>
    <row r="450" spans="1:3" x14ac:dyDescent="0.25">
      <c r="A450" t="s">
        <v>447</v>
      </c>
      <c r="B450">
        <v>32.54</v>
      </c>
      <c r="C450">
        <v>-93.744</v>
      </c>
    </row>
    <row r="451" spans="1:3" x14ac:dyDescent="0.25">
      <c r="A451" t="s">
        <v>448</v>
      </c>
      <c r="B451">
        <v>32.502000000000002</v>
      </c>
      <c r="C451">
        <v>-93.662999999999997</v>
      </c>
    </row>
    <row r="452" spans="1:3" x14ac:dyDescent="0.25">
      <c r="A452" t="s">
        <v>449</v>
      </c>
      <c r="B452">
        <v>32.511000000000003</v>
      </c>
      <c r="C452">
        <v>-92.037999999999997</v>
      </c>
    </row>
    <row r="453" spans="1:3" x14ac:dyDescent="0.25">
      <c r="A453" t="s">
        <v>450</v>
      </c>
      <c r="B453">
        <v>31.395</v>
      </c>
      <c r="C453">
        <v>-92.296000000000006</v>
      </c>
    </row>
    <row r="454" spans="1:3" x14ac:dyDescent="0.25">
      <c r="A454" t="s">
        <v>451</v>
      </c>
      <c r="B454">
        <v>32.347999999999999</v>
      </c>
      <c r="C454">
        <v>-91.03</v>
      </c>
    </row>
    <row r="455" spans="1:3" x14ac:dyDescent="0.25">
      <c r="A455" t="s">
        <v>452</v>
      </c>
      <c r="B455">
        <v>29.117000000000001</v>
      </c>
      <c r="C455">
        <v>-91.867000000000004</v>
      </c>
    </row>
    <row r="456" spans="1:3" x14ac:dyDescent="0.25">
      <c r="A456" t="s">
        <v>453</v>
      </c>
      <c r="B456">
        <v>31.4</v>
      </c>
      <c r="C456">
        <v>-93.283000000000001</v>
      </c>
    </row>
    <row r="457" spans="1:3" x14ac:dyDescent="0.25">
      <c r="A457" t="s">
        <v>454</v>
      </c>
      <c r="B457">
        <v>31.15</v>
      </c>
      <c r="C457">
        <v>-92.966999999999999</v>
      </c>
    </row>
    <row r="458" spans="1:3" x14ac:dyDescent="0.25">
      <c r="A458" t="s">
        <v>455</v>
      </c>
      <c r="B458">
        <v>31.109000000000002</v>
      </c>
      <c r="C458">
        <v>-92.962000000000003</v>
      </c>
    </row>
    <row r="459" spans="1:3" x14ac:dyDescent="0.25">
      <c r="A459" t="s">
        <v>456</v>
      </c>
      <c r="B459">
        <v>31.317</v>
      </c>
      <c r="C459">
        <v>-92.55</v>
      </c>
    </row>
    <row r="460" spans="1:3" x14ac:dyDescent="0.25">
      <c r="A460" t="s">
        <v>457</v>
      </c>
      <c r="B460">
        <v>42.47</v>
      </c>
      <c r="C460">
        <v>-71.289000000000001</v>
      </c>
    </row>
    <row r="461" spans="1:3" x14ac:dyDescent="0.25">
      <c r="A461" t="s">
        <v>458</v>
      </c>
      <c r="B461">
        <v>41.253</v>
      </c>
      <c r="C461">
        <v>-70.061000000000007</v>
      </c>
    </row>
    <row r="462" spans="1:3" x14ac:dyDescent="0.25">
      <c r="A462" t="s">
        <v>459</v>
      </c>
      <c r="B462">
        <v>41.253</v>
      </c>
      <c r="C462">
        <v>-70.061000000000007</v>
      </c>
    </row>
    <row r="463" spans="1:3" x14ac:dyDescent="0.25">
      <c r="A463" t="s">
        <v>460</v>
      </c>
      <c r="B463">
        <v>41.91</v>
      </c>
      <c r="C463">
        <v>-70.728999999999999</v>
      </c>
    </row>
    <row r="464" spans="1:3" x14ac:dyDescent="0.25">
      <c r="A464" t="s">
        <v>461</v>
      </c>
      <c r="B464">
        <v>41.676000000000002</v>
      </c>
      <c r="C464">
        <v>-70.957999999999998</v>
      </c>
    </row>
    <row r="465" spans="1:3" x14ac:dyDescent="0.25">
      <c r="A465" t="s">
        <v>462</v>
      </c>
      <c r="B465">
        <v>41.393000000000001</v>
      </c>
      <c r="C465">
        <v>-70.614999999999995</v>
      </c>
    </row>
    <row r="466" spans="1:3" x14ac:dyDescent="0.25">
      <c r="A466" t="s">
        <v>463</v>
      </c>
      <c r="B466">
        <v>41.668999999999997</v>
      </c>
      <c r="C466">
        <v>-70.28</v>
      </c>
    </row>
    <row r="467" spans="1:3" x14ac:dyDescent="0.25">
      <c r="A467" t="s">
        <v>464</v>
      </c>
      <c r="B467">
        <v>41.875999999999998</v>
      </c>
      <c r="C467">
        <v>-71.021000000000001</v>
      </c>
    </row>
    <row r="468" spans="1:3" x14ac:dyDescent="0.25">
      <c r="A468" t="s">
        <v>465</v>
      </c>
      <c r="B468">
        <v>41.688000000000002</v>
      </c>
      <c r="C468">
        <v>-69.992999999999995</v>
      </c>
    </row>
    <row r="469" spans="1:3" x14ac:dyDescent="0.25">
      <c r="A469" t="s">
        <v>466</v>
      </c>
      <c r="B469">
        <v>42.695999999999998</v>
      </c>
      <c r="C469">
        <v>-73.171000000000006</v>
      </c>
    </row>
    <row r="470" spans="1:3" x14ac:dyDescent="0.25">
      <c r="A470" t="s">
        <v>467</v>
      </c>
      <c r="B470">
        <v>42.57</v>
      </c>
      <c r="C470">
        <v>-72.290999999999997</v>
      </c>
    </row>
    <row r="471" spans="1:3" x14ac:dyDescent="0.25">
      <c r="A471" t="s">
        <v>468</v>
      </c>
      <c r="B471">
        <v>42.584000000000003</v>
      </c>
      <c r="C471">
        <v>-70.918000000000006</v>
      </c>
    </row>
    <row r="472" spans="1:3" x14ac:dyDescent="0.25">
      <c r="A472" t="s">
        <v>469</v>
      </c>
      <c r="B472">
        <v>42.360999999999997</v>
      </c>
      <c r="C472">
        <v>-71.010999999999996</v>
      </c>
    </row>
    <row r="473" spans="1:3" x14ac:dyDescent="0.25">
      <c r="A473" t="s">
        <v>470</v>
      </c>
      <c r="B473">
        <v>42.15</v>
      </c>
      <c r="C473">
        <v>-70.933000000000007</v>
      </c>
    </row>
    <row r="474" spans="1:3" x14ac:dyDescent="0.25">
      <c r="A474" t="s">
        <v>471</v>
      </c>
      <c r="B474">
        <v>42.191000000000003</v>
      </c>
      <c r="C474">
        <v>-71.174000000000007</v>
      </c>
    </row>
    <row r="475" spans="1:3" x14ac:dyDescent="0.25">
      <c r="A475" t="s">
        <v>472</v>
      </c>
      <c r="B475">
        <v>42.552</v>
      </c>
      <c r="C475">
        <v>-71.756</v>
      </c>
    </row>
    <row r="476" spans="1:3" x14ac:dyDescent="0.25">
      <c r="A476" t="s">
        <v>473</v>
      </c>
      <c r="B476">
        <v>42.427</v>
      </c>
      <c r="C476">
        <v>-73.289000000000001</v>
      </c>
    </row>
    <row r="477" spans="1:3" x14ac:dyDescent="0.25">
      <c r="A477" t="s">
        <v>474</v>
      </c>
      <c r="B477">
        <v>42.47</v>
      </c>
      <c r="C477">
        <v>-71.289000000000001</v>
      </c>
    </row>
    <row r="478" spans="1:3" x14ac:dyDescent="0.25">
      <c r="A478" t="s">
        <v>475</v>
      </c>
      <c r="B478">
        <v>42.716999999999999</v>
      </c>
      <c r="C478">
        <v>-71.123999999999995</v>
      </c>
    </row>
    <row r="479" spans="1:3" x14ac:dyDescent="0.25">
      <c r="A479" t="s">
        <v>476</v>
      </c>
      <c r="B479">
        <v>42.567</v>
      </c>
      <c r="C479">
        <v>-71.599999999999994</v>
      </c>
    </row>
    <row r="480" spans="1:3" x14ac:dyDescent="0.25">
      <c r="A480" t="s">
        <v>477</v>
      </c>
      <c r="B480">
        <v>42.212000000000003</v>
      </c>
      <c r="C480">
        <v>-71.114999999999995</v>
      </c>
    </row>
    <row r="481" spans="1:3" x14ac:dyDescent="0.25">
      <c r="A481" t="s">
        <v>478</v>
      </c>
      <c r="B481">
        <v>42.198</v>
      </c>
      <c r="C481">
        <v>-72.534000000000006</v>
      </c>
    </row>
    <row r="482" spans="1:3" x14ac:dyDescent="0.25">
      <c r="A482" t="s">
        <v>479</v>
      </c>
      <c r="B482">
        <v>42.158000000000001</v>
      </c>
      <c r="C482">
        <v>-72.715999999999994</v>
      </c>
    </row>
    <row r="483" spans="1:3" x14ac:dyDescent="0.25">
      <c r="A483" t="s">
        <v>480</v>
      </c>
      <c r="B483">
        <v>38.982999999999997</v>
      </c>
      <c r="C483">
        <v>-76.483000000000004</v>
      </c>
    </row>
    <row r="484" spans="1:3" x14ac:dyDescent="0.25">
      <c r="A484" t="s">
        <v>481</v>
      </c>
      <c r="B484">
        <v>39.645000000000003</v>
      </c>
      <c r="C484">
        <v>-77.468000000000004</v>
      </c>
    </row>
    <row r="485" spans="1:3" x14ac:dyDescent="0.25">
      <c r="A485" t="s">
        <v>482</v>
      </c>
      <c r="B485">
        <v>38.283000000000001</v>
      </c>
      <c r="C485">
        <v>-76.400000000000006</v>
      </c>
    </row>
    <row r="486" spans="1:3" x14ac:dyDescent="0.25">
      <c r="A486" t="s">
        <v>483</v>
      </c>
      <c r="B486">
        <v>38.804000000000002</v>
      </c>
      <c r="C486">
        <v>-76.069000000000003</v>
      </c>
    </row>
    <row r="487" spans="1:3" x14ac:dyDescent="0.25">
      <c r="A487" t="s">
        <v>484</v>
      </c>
      <c r="B487">
        <v>38.341000000000001</v>
      </c>
      <c r="C487">
        <v>-75.510000000000005</v>
      </c>
    </row>
    <row r="488" spans="1:3" x14ac:dyDescent="0.25">
      <c r="A488" t="s">
        <v>485</v>
      </c>
      <c r="B488">
        <v>39.171999999999997</v>
      </c>
      <c r="C488">
        <v>-76.683999999999997</v>
      </c>
    </row>
    <row r="489" spans="1:3" x14ac:dyDescent="0.25">
      <c r="A489" t="s">
        <v>486</v>
      </c>
      <c r="B489">
        <v>39.082999999999998</v>
      </c>
      <c r="C489">
        <v>-76.75</v>
      </c>
    </row>
    <row r="490" spans="1:3" x14ac:dyDescent="0.25">
      <c r="A490" t="s">
        <v>487</v>
      </c>
      <c r="B490">
        <v>39.707999999999998</v>
      </c>
      <c r="C490">
        <v>-77.73</v>
      </c>
    </row>
    <row r="491" spans="1:3" x14ac:dyDescent="0.25">
      <c r="A491" t="s">
        <v>488</v>
      </c>
      <c r="B491">
        <v>39.326000000000001</v>
      </c>
      <c r="C491">
        <v>-76.400999999999996</v>
      </c>
    </row>
    <row r="492" spans="1:3" x14ac:dyDescent="0.25">
      <c r="A492" t="s">
        <v>489</v>
      </c>
      <c r="B492">
        <v>38.142000000000003</v>
      </c>
      <c r="C492">
        <v>-76.429000000000002</v>
      </c>
    </row>
    <row r="493" spans="1:3" x14ac:dyDescent="0.25">
      <c r="A493" t="s">
        <v>490</v>
      </c>
      <c r="B493">
        <v>38.811</v>
      </c>
      <c r="C493">
        <v>-76.867000000000004</v>
      </c>
    </row>
    <row r="494" spans="1:3" x14ac:dyDescent="0.25">
      <c r="A494" t="s">
        <v>491</v>
      </c>
      <c r="B494">
        <v>38.308</v>
      </c>
      <c r="C494">
        <v>-75.123999999999995</v>
      </c>
    </row>
    <row r="495" spans="1:3" x14ac:dyDescent="0.25">
      <c r="A495" t="s">
        <v>492</v>
      </c>
      <c r="B495">
        <v>43.642000000000003</v>
      </c>
      <c r="C495">
        <v>-70.304000000000002</v>
      </c>
    </row>
    <row r="496" spans="1:3" x14ac:dyDescent="0.25">
      <c r="A496" t="s">
        <v>493</v>
      </c>
      <c r="B496">
        <v>44.8</v>
      </c>
      <c r="C496">
        <v>-68.816999999999993</v>
      </c>
    </row>
    <row r="497" spans="1:3" x14ac:dyDescent="0.25">
      <c r="A497" t="s">
        <v>494</v>
      </c>
      <c r="B497">
        <v>44.808</v>
      </c>
      <c r="C497">
        <v>-68.823999999999998</v>
      </c>
    </row>
    <row r="498" spans="1:3" x14ac:dyDescent="0.25">
      <c r="A498" t="s">
        <v>495</v>
      </c>
      <c r="B498">
        <v>44.442</v>
      </c>
      <c r="C498">
        <v>-68.367000000000004</v>
      </c>
    </row>
    <row r="499" spans="1:3" x14ac:dyDescent="0.25">
      <c r="A499" t="s">
        <v>496</v>
      </c>
      <c r="B499">
        <v>47.286000000000001</v>
      </c>
      <c r="C499">
        <v>-68.307000000000002</v>
      </c>
    </row>
    <row r="500" spans="1:3" x14ac:dyDescent="0.25">
      <c r="A500" t="s">
        <v>497</v>
      </c>
      <c r="B500">
        <v>44.808</v>
      </c>
      <c r="C500">
        <v>-68.823999999999998</v>
      </c>
    </row>
    <row r="501" spans="1:3" x14ac:dyDescent="0.25">
      <c r="A501" t="s">
        <v>498</v>
      </c>
      <c r="B501">
        <v>43.991</v>
      </c>
      <c r="C501">
        <v>-70.947999999999993</v>
      </c>
    </row>
    <row r="502" spans="1:3" x14ac:dyDescent="0.25">
      <c r="A502" t="s">
        <v>499</v>
      </c>
      <c r="B502">
        <v>44.320999999999998</v>
      </c>
      <c r="C502">
        <v>-69.796999999999997</v>
      </c>
    </row>
    <row r="503" spans="1:3" x14ac:dyDescent="0.25">
      <c r="A503" t="s">
        <v>500</v>
      </c>
      <c r="B503">
        <v>45.462000000000003</v>
      </c>
      <c r="C503">
        <v>-69.594999999999999</v>
      </c>
    </row>
    <row r="504" spans="1:3" x14ac:dyDescent="0.25">
      <c r="A504" t="s">
        <v>501</v>
      </c>
      <c r="B504">
        <v>45.648000000000003</v>
      </c>
      <c r="C504">
        <v>-68.686000000000007</v>
      </c>
    </row>
    <row r="505" spans="1:3" x14ac:dyDescent="0.25">
      <c r="A505" t="s">
        <v>502</v>
      </c>
      <c r="B505">
        <v>46.133000000000003</v>
      </c>
      <c r="C505">
        <v>-67.783000000000001</v>
      </c>
    </row>
    <row r="506" spans="1:3" x14ac:dyDescent="0.25">
      <c r="A506" t="s">
        <v>503</v>
      </c>
      <c r="B506">
        <v>46.122999999999998</v>
      </c>
      <c r="C506">
        <v>-67.792000000000002</v>
      </c>
    </row>
    <row r="507" spans="1:3" x14ac:dyDescent="0.25">
      <c r="A507" t="s">
        <v>504</v>
      </c>
      <c r="B507">
        <v>46.609000000000002</v>
      </c>
      <c r="C507">
        <v>-69.531000000000006</v>
      </c>
    </row>
    <row r="508" spans="1:3" x14ac:dyDescent="0.25">
      <c r="A508" t="s">
        <v>505</v>
      </c>
      <c r="B508">
        <v>46.866999999999997</v>
      </c>
      <c r="C508">
        <v>-68.033000000000001</v>
      </c>
    </row>
    <row r="509" spans="1:3" x14ac:dyDescent="0.25">
      <c r="A509" t="s">
        <v>506</v>
      </c>
      <c r="B509">
        <v>46.95</v>
      </c>
      <c r="C509">
        <v>-67.882999999999996</v>
      </c>
    </row>
    <row r="510" spans="1:3" x14ac:dyDescent="0.25">
      <c r="A510" t="s">
        <v>507</v>
      </c>
      <c r="B510">
        <v>43.963999999999999</v>
      </c>
      <c r="C510">
        <v>-69.712000000000003</v>
      </c>
    </row>
    <row r="511" spans="1:3" x14ac:dyDescent="0.25">
      <c r="A511" t="s">
        <v>508</v>
      </c>
      <c r="B511">
        <v>43.9</v>
      </c>
      <c r="C511">
        <v>-69.933000000000007</v>
      </c>
    </row>
    <row r="512" spans="1:3" x14ac:dyDescent="0.25">
      <c r="A512" t="s">
        <v>509</v>
      </c>
      <c r="B512">
        <v>45.082999999999998</v>
      </c>
      <c r="C512">
        <v>-83.566999999999993</v>
      </c>
    </row>
    <row r="513" spans="1:3" x14ac:dyDescent="0.25">
      <c r="A513" t="s">
        <v>510</v>
      </c>
      <c r="B513">
        <v>46.429000000000002</v>
      </c>
      <c r="C513">
        <v>-86.650999999999996</v>
      </c>
    </row>
    <row r="514" spans="1:3" x14ac:dyDescent="0.25">
      <c r="A514" t="s">
        <v>511</v>
      </c>
      <c r="B514">
        <v>42.215000000000003</v>
      </c>
      <c r="C514">
        <v>-83.349000000000004</v>
      </c>
    </row>
    <row r="515" spans="1:3" x14ac:dyDescent="0.25">
      <c r="A515" t="s">
        <v>512</v>
      </c>
      <c r="B515">
        <v>42.222999999999999</v>
      </c>
      <c r="C515">
        <v>-83.744</v>
      </c>
    </row>
    <row r="516" spans="1:3" x14ac:dyDescent="0.25">
      <c r="A516" t="s">
        <v>513</v>
      </c>
      <c r="B516">
        <v>42.408999999999999</v>
      </c>
      <c r="C516">
        <v>-83.01</v>
      </c>
    </row>
    <row r="517" spans="1:3" x14ac:dyDescent="0.25">
      <c r="A517" t="s">
        <v>514</v>
      </c>
      <c r="B517">
        <v>42.237000000000002</v>
      </c>
      <c r="C517">
        <v>-83.23</v>
      </c>
    </row>
    <row r="518" spans="1:3" x14ac:dyDescent="0.25">
      <c r="A518" t="s">
        <v>515</v>
      </c>
      <c r="B518">
        <v>42.613</v>
      </c>
      <c r="C518">
        <v>-82.831999999999994</v>
      </c>
    </row>
    <row r="519" spans="1:3" x14ac:dyDescent="0.25">
      <c r="A519" t="s">
        <v>516</v>
      </c>
      <c r="B519">
        <v>44.021999999999998</v>
      </c>
      <c r="C519">
        <v>-82.793000000000006</v>
      </c>
    </row>
    <row r="520" spans="1:3" x14ac:dyDescent="0.25">
      <c r="A520" t="s">
        <v>517</v>
      </c>
      <c r="B520">
        <v>47.466999999999999</v>
      </c>
      <c r="C520">
        <v>-87.875</v>
      </c>
    </row>
    <row r="521" spans="1:3" x14ac:dyDescent="0.25">
      <c r="A521" t="s">
        <v>518</v>
      </c>
      <c r="B521">
        <v>42.78</v>
      </c>
      <c r="C521">
        <v>-84.578999999999994</v>
      </c>
    </row>
    <row r="522" spans="1:3" x14ac:dyDescent="0.25">
      <c r="A522" t="s">
        <v>519</v>
      </c>
      <c r="B522">
        <v>42.746000000000002</v>
      </c>
      <c r="C522">
        <v>-86.096999999999994</v>
      </c>
    </row>
    <row r="523" spans="1:3" x14ac:dyDescent="0.25">
      <c r="A523" t="s">
        <v>520</v>
      </c>
      <c r="B523">
        <v>42.26</v>
      </c>
      <c r="C523">
        <v>-84.459000000000003</v>
      </c>
    </row>
    <row r="524" spans="1:3" x14ac:dyDescent="0.25">
      <c r="A524" t="s">
        <v>521</v>
      </c>
      <c r="B524">
        <v>42.308</v>
      </c>
      <c r="C524">
        <v>-85.251000000000005</v>
      </c>
    </row>
    <row r="525" spans="1:3" x14ac:dyDescent="0.25">
      <c r="A525" t="s">
        <v>522</v>
      </c>
      <c r="B525">
        <v>41.868000000000002</v>
      </c>
      <c r="C525">
        <v>-84.078999999999994</v>
      </c>
    </row>
    <row r="526" spans="1:3" x14ac:dyDescent="0.25">
      <c r="A526" t="s">
        <v>523</v>
      </c>
      <c r="B526">
        <v>45.012999999999998</v>
      </c>
      <c r="C526">
        <v>-84.700999999999993</v>
      </c>
    </row>
    <row r="527" spans="1:3" x14ac:dyDescent="0.25">
      <c r="A527" t="s">
        <v>524</v>
      </c>
      <c r="B527">
        <v>42.881999999999998</v>
      </c>
      <c r="C527">
        <v>-85.522999999999996</v>
      </c>
    </row>
    <row r="528" spans="1:3" x14ac:dyDescent="0.25">
      <c r="A528" t="s">
        <v>525</v>
      </c>
      <c r="B528">
        <v>42.128999999999998</v>
      </c>
      <c r="C528">
        <v>-86.421999999999997</v>
      </c>
    </row>
    <row r="529" spans="1:3" x14ac:dyDescent="0.25">
      <c r="A529" t="s">
        <v>526</v>
      </c>
      <c r="B529">
        <v>42.234999999999999</v>
      </c>
      <c r="C529">
        <v>-85.552000000000007</v>
      </c>
    </row>
    <row r="530" spans="1:3" x14ac:dyDescent="0.25">
      <c r="A530" t="s">
        <v>527</v>
      </c>
      <c r="B530">
        <v>43.170999999999999</v>
      </c>
      <c r="C530">
        <v>-86.236999999999995</v>
      </c>
    </row>
    <row r="531" spans="1:3" x14ac:dyDescent="0.25">
      <c r="A531" t="s">
        <v>528</v>
      </c>
      <c r="B531">
        <v>42.966999999999999</v>
      </c>
      <c r="C531">
        <v>-83.748999999999995</v>
      </c>
    </row>
    <row r="532" spans="1:3" x14ac:dyDescent="0.25">
      <c r="A532" t="s">
        <v>529</v>
      </c>
      <c r="B532">
        <v>42.664999999999999</v>
      </c>
      <c r="C532">
        <v>-83.418000000000006</v>
      </c>
    </row>
    <row r="533" spans="1:3" x14ac:dyDescent="0.25">
      <c r="A533" t="s">
        <v>530</v>
      </c>
      <c r="B533">
        <v>43.533000000000001</v>
      </c>
      <c r="C533">
        <v>-84.08</v>
      </c>
    </row>
    <row r="534" spans="1:3" x14ac:dyDescent="0.25">
      <c r="A534" t="s">
        <v>531</v>
      </c>
      <c r="B534">
        <v>44.368000000000002</v>
      </c>
      <c r="C534">
        <v>-84.691000000000003</v>
      </c>
    </row>
    <row r="535" spans="1:3" x14ac:dyDescent="0.25">
      <c r="A535" t="s">
        <v>532</v>
      </c>
      <c r="B535">
        <v>44.271999999999998</v>
      </c>
      <c r="C535">
        <v>-86.233999999999995</v>
      </c>
    </row>
    <row r="536" spans="1:3" x14ac:dyDescent="0.25">
      <c r="A536" t="s">
        <v>533</v>
      </c>
      <c r="B536">
        <v>44.741</v>
      </c>
      <c r="C536">
        <v>-85.582999999999998</v>
      </c>
    </row>
    <row r="537" spans="1:3" x14ac:dyDescent="0.25">
      <c r="A537" t="s">
        <v>534</v>
      </c>
      <c r="B537">
        <v>45.072000000000003</v>
      </c>
      <c r="C537">
        <v>-83.581000000000003</v>
      </c>
    </row>
    <row r="538" spans="1:3" x14ac:dyDescent="0.25">
      <c r="A538" t="s">
        <v>535</v>
      </c>
      <c r="B538">
        <v>44.453000000000003</v>
      </c>
      <c r="C538">
        <v>-83.367999999999995</v>
      </c>
    </row>
    <row r="539" spans="1:3" x14ac:dyDescent="0.25">
      <c r="A539" t="s">
        <v>536</v>
      </c>
      <c r="B539">
        <v>45.95</v>
      </c>
      <c r="C539">
        <v>-86.23</v>
      </c>
    </row>
    <row r="540" spans="1:3" x14ac:dyDescent="0.25">
      <c r="A540" t="s">
        <v>537</v>
      </c>
      <c r="B540">
        <v>46.466999999999999</v>
      </c>
      <c r="C540">
        <v>-84.367000000000004</v>
      </c>
    </row>
    <row r="541" spans="1:3" x14ac:dyDescent="0.25">
      <c r="A541" t="s">
        <v>538</v>
      </c>
      <c r="B541">
        <v>46.466999999999999</v>
      </c>
      <c r="C541">
        <v>-84.367000000000004</v>
      </c>
    </row>
    <row r="542" spans="1:3" x14ac:dyDescent="0.25">
      <c r="A542" t="s">
        <v>539</v>
      </c>
      <c r="B542">
        <v>45.570999999999998</v>
      </c>
      <c r="C542">
        <v>-84.796000000000006</v>
      </c>
    </row>
    <row r="543" spans="1:3" x14ac:dyDescent="0.25">
      <c r="A543" t="s">
        <v>540</v>
      </c>
      <c r="B543">
        <v>46.530999999999999</v>
      </c>
      <c r="C543">
        <v>-87.549000000000007</v>
      </c>
    </row>
    <row r="544" spans="1:3" x14ac:dyDescent="0.25">
      <c r="A544" t="s">
        <v>541</v>
      </c>
      <c r="B544">
        <v>45.865000000000002</v>
      </c>
      <c r="C544">
        <v>-84.637</v>
      </c>
    </row>
    <row r="545" spans="1:3" x14ac:dyDescent="0.25">
      <c r="A545" t="s">
        <v>542</v>
      </c>
      <c r="B545">
        <v>44.988999999999997</v>
      </c>
      <c r="C545">
        <v>-85.185000000000002</v>
      </c>
    </row>
    <row r="546" spans="1:3" x14ac:dyDescent="0.25">
      <c r="A546" t="s">
        <v>543</v>
      </c>
      <c r="B546">
        <v>45.817999999999998</v>
      </c>
      <c r="C546">
        <v>-88.114000000000004</v>
      </c>
    </row>
    <row r="547" spans="1:3" x14ac:dyDescent="0.25">
      <c r="A547" t="s">
        <v>544</v>
      </c>
      <c r="B547">
        <v>47.168999999999997</v>
      </c>
      <c r="C547">
        <v>-88.506</v>
      </c>
    </row>
    <row r="548" spans="1:3" x14ac:dyDescent="0.25">
      <c r="A548" t="s">
        <v>545</v>
      </c>
      <c r="B548">
        <v>43.904000000000003</v>
      </c>
      <c r="C548">
        <v>-92.492000000000004</v>
      </c>
    </row>
    <row r="549" spans="1:3" x14ac:dyDescent="0.25">
      <c r="A549" t="s">
        <v>546</v>
      </c>
      <c r="B549">
        <v>45.545000000000002</v>
      </c>
      <c r="C549">
        <v>-94.052000000000007</v>
      </c>
    </row>
    <row r="550" spans="1:3" x14ac:dyDescent="0.25">
      <c r="A550" t="s">
        <v>547</v>
      </c>
      <c r="B550">
        <v>46.405000000000001</v>
      </c>
      <c r="C550">
        <v>-94.131</v>
      </c>
    </row>
    <row r="551" spans="1:3" x14ac:dyDescent="0.25">
      <c r="A551" t="s">
        <v>548</v>
      </c>
      <c r="B551">
        <v>44.546999999999997</v>
      </c>
      <c r="C551">
        <v>-95.081999999999994</v>
      </c>
    </row>
    <row r="552" spans="1:3" x14ac:dyDescent="0.25">
      <c r="A552" t="s">
        <v>549</v>
      </c>
      <c r="B552">
        <v>45.883000000000003</v>
      </c>
      <c r="C552">
        <v>-95.393000000000001</v>
      </c>
    </row>
    <row r="553" spans="1:3" x14ac:dyDescent="0.25">
      <c r="A553" t="s">
        <v>550</v>
      </c>
      <c r="B553">
        <v>44.45</v>
      </c>
      <c r="C553">
        <v>-95.816999999999993</v>
      </c>
    </row>
    <row r="554" spans="1:3" x14ac:dyDescent="0.25">
      <c r="A554" t="s">
        <v>551</v>
      </c>
      <c r="B554">
        <v>45.063000000000002</v>
      </c>
      <c r="C554">
        <v>-93.350999999999999</v>
      </c>
    </row>
    <row r="555" spans="1:3" x14ac:dyDescent="0.25">
      <c r="A555" t="s">
        <v>552</v>
      </c>
      <c r="B555">
        <v>44.832000000000001</v>
      </c>
      <c r="C555">
        <v>-93.47</v>
      </c>
    </row>
    <row r="556" spans="1:3" x14ac:dyDescent="0.25">
      <c r="A556" t="s">
        <v>553</v>
      </c>
      <c r="B556">
        <v>44.883000000000003</v>
      </c>
      <c r="C556">
        <v>-93.228999999999999</v>
      </c>
    </row>
    <row r="557" spans="1:3" x14ac:dyDescent="0.25">
      <c r="A557" t="s">
        <v>554</v>
      </c>
      <c r="B557">
        <v>44.93</v>
      </c>
      <c r="C557">
        <v>-93.048000000000002</v>
      </c>
    </row>
    <row r="558" spans="1:3" x14ac:dyDescent="0.25">
      <c r="A558" t="s">
        <v>555</v>
      </c>
      <c r="B558">
        <v>44.220999999999997</v>
      </c>
      <c r="C558">
        <v>-93.917000000000002</v>
      </c>
    </row>
    <row r="559" spans="1:3" x14ac:dyDescent="0.25">
      <c r="A559" t="s">
        <v>556</v>
      </c>
      <c r="B559">
        <v>43.646000000000001</v>
      </c>
      <c r="C559">
        <v>-94.417000000000002</v>
      </c>
    </row>
    <row r="560" spans="1:3" x14ac:dyDescent="0.25">
      <c r="A560" t="s">
        <v>557</v>
      </c>
      <c r="B560">
        <v>46.418999999999997</v>
      </c>
      <c r="C560">
        <v>-92.8</v>
      </c>
    </row>
    <row r="561" spans="1:3" x14ac:dyDescent="0.25">
      <c r="A561" t="s">
        <v>558</v>
      </c>
      <c r="B561">
        <v>46.844000000000001</v>
      </c>
      <c r="C561">
        <v>-92.194000000000003</v>
      </c>
    </row>
    <row r="562" spans="1:3" x14ac:dyDescent="0.25">
      <c r="A562" t="s">
        <v>559</v>
      </c>
      <c r="B562">
        <v>47.387</v>
      </c>
      <c r="C562">
        <v>-92.838999999999999</v>
      </c>
    </row>
    <row r="563" spans="1:3" x14ac:dyDescent="0.25">
      <c r="A563" t="s">
        <v>560</v>
      </c>
      <c r="B563">
        <v>47.747</v>
      </c>
      <c r="C563">
        <v>-90.343999999999994</v>
      </c>
    </row>
    <row r="564" spans="1:3" x14ac:dyDescent="0.25">
      <c r="A564" t="s">
        <v>561</v>
      </c>
      <c r="B564">
        <v>48.566000000000003</v>
      </c>
      <c r="C564">
        <v>-93.403000000000006</v>
      </c>
    </row>
    <row r="565" spans="1:3" x14ac:dyDescent="0.25">
      <c r="A565" t="s">
        <v>562</v>
      </c>
      <c r="B565">
        <v>48.728000000000002</v>
      </c>
      <c r="C565">
        <v>-94.61</v>
      </c>
    </row>
    <row r="566" spans="1:3" x14ac:dyDescent="0.25">
      <c r="A566" t="s">
        <v>563</v>
      </c>
      <c r="B566">
        <v>47.582999999999998</v>
      </c>
      <c r="C566">
        <v>-90.832999999999998</v>
      </c>
    </row>
    <row r="567" spans="1:3" x14ac:dyDescent="0.25">
      <c r="A567" t="s">
        <v>564</v>
      </c>
      <c r="B567">
        <v>38.96</v>
      </c>
      <c r="C567">
        <v>-94.370999999999995</v>
      </c>
    </row>
    <row r="568" spans="1:3" x14ac:dyDescent="0.25">
      <c r="A568" t="s">
        <v>565</v>
      </c>
      <c r="B568">
        <v>37.087000000000003</v>
      </c>
      <c r="C568">
        <v>-84.076999999999998</v>
      </c>
    </row>
    <row r="569" spans="1:3" x14ac:dyDescent="0.25">
      <c r="A569" t="s">
        <v>566</v>
      </c>
      <c r="B569">
        <v>36.773000000000003</v>
      </c>
      <c r="C569">
        <v>-90.325000000000003</v>
      </c>
    </row>
    <row r="570" spans="1:3" x14ac:dyDescent="0.25">
      <c r="A570" t="s">
        <v>567</v>
      </c>
      <c r="B570">
        <v>36.878</v>
      </c>
      <c r="C570">
        <v>-91.903000000000006</v>
      </c>
    </row>
    <row r="571" spans="1:3" x14ac:dyDescent="0.25">
      <c r="A571" t="s">
        <v>568</v>
      </c>
      <c r="B571">
        <v>37.225000000000001</v>
      </c>
      <c r="C571">
        <v>-89.570999999999998</v>
      </c>
    </row>
    <row r="572" spans="1:3" x14ac:dyDescent="0.25">
      <c r="A572" t="s">
        <v>569</v>
      </c>
      <c r="B572">
        <v>37.149000000000001</v>
      </c>
      <c r="C572">
        <v>-94.498000000000005</v>
      </c>
    </row>
    <row r="573" spans="1:3" x14ac:dyDescent="0.25">
      <c r="A573" t="s">
        <v>570</v>
      </c>
      <c r="B573">
        <v>38.753</v>
      </c>
      <c r="C573">
        <v>-90.373999999999995</v>
      </c>
    </row>
    <row r="574" spans="1:3" x14ac:dyDescent="0.25">
      <c r="A574" t="s">
        <v>571</v>
      </c>
      <c r="B574">
        <v>38.656999999999996</v>
      </c>
      <c r="C574">
        <v>-90.656000000000006</v>
      </c>
    </row>
    <row r="575" spans="1:3" x14ac:dyDescent="0.25">
      <c r="A575" t="s">
        <v>572</v>
      </c>
      <c r="B575">
        <v>38.929000000000002</v>
      </c>
      <c r="C575">
        <v>-90.427999999999997</v>
      </c>
    </row>
    <row r="576" spans="1:3" x14ac:dyDescent="0.25">
      <c r="A576" t="s">
        <v>573</v>
      </c>
      <c r="B576">
        <v>37.24</v>
      </c>
      <c r="C576">
        <v>-93.39</v>
      </c>
    </row>
    <row r="577" spans="1:3" x14ac:dyDescent="0.25">
      <c r="A577" t="s">
        <v>574</v>
      </c>
      <c r="B577">
        <v>38.817</v>
      </c>
      <c r="C577">
        <v>-92.218000000000004</v>
      </c>
    </row>
    <row r="578" spans="1:3" x14ac:dyDescent="0.25">
      <c r="A578" t="s">
        <v>575</v>
      </c>
      <c r="B578">
        <v>38.704000000000001</v>
      </c>
      <c r="C578">
        <v>-93.183000000000007</v>
      </c>
    </row>
    <row r="579" spans="1:3" x14ac:dyDescent="0.25">
      <c r="A579" t="s">
        <v>576</v>
      </c>
      <c r="B579">
        <v>40.097000000000001</v>
      </c>
      <c r="C579">
        <v>-92.543000000000006</v>
      </c>
    </row>
    <row r="580" spans="1:3" x14ac:dyDescent="0.25">
      <c r="A580" t="s">
        <v>577</v>
      </c>
      <c r="B580">
        <v>38.128</v>
      </c>
      <c r="C580">
        <v>-91.769000000000005</v>
      </c>
    </row>
    <row r="581" spans="1:3" x14ac:dyDescent="0.25">
      <c r="A581" t="s">
        <v>578</v>
      </c>
      <c r="B581">
        <v>37.741999999999997</v>
      </c>
      <c r="C581">
        <v>-92.141000000000005</v>
      </c>
    </row>
    <row r="582" spans="1:3" x14ac:dyDescent="0.25">
      <c r="A582" t="s">
        <v>579</v>
      </c>
      <c r="B582">
        <v>38.591000000000001</v>
      </c>
      <c r="C582">
        <v>-92.156000000000006</v>
      </c>
    </row>
    <row r="583" spans="1:3" x14ac:dyDescent="0.25">
      <c r="A583" t="s">
        <v>580</v>
      </c>
      <c r="B583">
        <v>39.298999999999999</v>
      </c>
      <c r="C583">
        <v>-94.718000000000004</v>
      </c>
    </row>
    <row r="584" spans="1:3" x14ac:dyDescent="0.25">
      <c r="A584" t="s">
        <v>581</v>
      </c>
      <c r="B584">
        <v>39.122999999999998</v>
      </c>
      <c r="C584">
        <v>-94.593000000000004</v>
      </c>
    </row>
    <row r="585" spans="1:3" x14ac:dyDescent="0.25">
      <c r="A585" t="s">
        <v>582</v>
      </c>
      <c r="B585">
        <v>39.122999999999998</v>
      </c>
      <c r="C585">
        <v>-94.593000000000004</v>
      </c>
    </row>
    <row r="586" spans="1:3" x14ac:dyDescent="0.25">
      <c r="A586" t="s">
        <v>583</v>
      </c>
      <c r="B586">
        <v>39.823</v>
      </c>
      <c r="C586">
        <v>-93.578999999999994</v>
      </c>
    </row>
    <row r="587" spans="1:3" x14ac:dyDescent="0.25">
      <c r="A587" t="s">
        <v>584</v>
      </c>
      <c r="B587">
        <v>38.835000000000001</v>
      </c>
      <c r="C587">
        <v>-94.561000000000007</v>
      </c>
    </row>
    <row r="588" spans="1:3" x14ac:dyDescent="0.25">
      <c r="A588" t="s">
        <v>585</v>
      </c>
      <c r="B588">
        <v>38.729999999999997</v>
      </c>
      <c r="C588">
        <v>-93.548000000000002</v>
      </c>
    </row>
    <row r="589" spans="1:3" x14ac:dyDescent="0.25">
      <c r="A589" t="s">
        <v>586</v>
      </c>
      <c r="B589">
        <v>39.774000000000001</v>
      </c>
      <c r="C589">
        <v>-94.906999999999996</v>
      </c>
    </row>
    <row r="590" spans="1:3" x14ac:dyDescent="0.25">
      <c r="A590" t="s">
        <v>587</v>
      </c>
      <c r="B590">
        <v>34.982999999999997</v>
      </c>
      <c r="C590">
        <v>-89.783000000000001</v>
      </c>
    </row>
    <row r="591" spans="1:3" x14ac:dyDescent="0.25">
      <c r="A591" t="s">
        <v>588</v>
      </c>
      <c r="B591">
        <v>32.332999999999998</v>
      </c>
      <c r="C591">
        <v>-88.751000000000005</v>
      </c>
    </row>
    <row r="592" spans="1:3" x14ac:dyDescent="0.25">
      <c r="A592" t="s">
        <v>589</v>
      </c>
      <c r="B592">
        <v>32.549999999999997</v>
      </c>
      <c r="C592">
        <v>-88.566999999999993</v>
      </c>
    </row>
    <row r="593" spans="1:3" x14ac:dyDescent="0.25">
      <c r="A593" t="s">
        <v>590</v>
      </c>
      <c r="B593">
        <v>31.265000000000001</v>
      </c>
      <c r="C593">
        <v>-89.253</v>
      </c>
    </row>
    <row r="594" spans="1:3" x14ac:dyDescent="0.25">
      <c r="A594" t="s">
        <v>591</v>
      </c>
      <c r="B594">
        <v>32.32</v>
      </c>
      <c r="C594">
        <v>-90.078000000000003</v>
      </c>
    </row>
    <row r="595" spans="1:3" x14ac:dyDescent="0.25">
      <c r="A595" t="s">
        <v>592</v>
      </c>
      <c r="B595">
        <v>32.335000000000001</v>
      </c>
      <c r="C595">
        <v>-90.222999999999999</v>
      </c>
    </row>
    <row r="596" spans="1:3" x14ac:dyDescent="0.25">
      <c r="A596" t="s">
        <v>593</v>
      </c>
      <c r="B596">
        <v>33.482999999999997</v>
      </c>
      <c r="C596">
        <v>-90.986000000000004</v>
      </c>
    </row>
    <row r="597" spans="1:3" x14ac:dyDescent="0.25">
      <c r="A597" t="s">
        <v>594</v>
      </c>
      <c r="B597">
        <v>31.178000000000001</v>
      </c>
      <c r="C597">
        <v>-90.471999999999994</v>
      </c>
    </row>
    <row r="598" spans="1:3" x14ac:dyDescent="0.25">
      <c r="A598" t="s">
        <v>595</v>
      </c>
      <c r="B598">
        <v>33.496000000000002</v>
      </c>
      <c r="C598">
        <v>-90.084000000000003</v>
      </c>
    </row>
    <row r="599" spans="1:3" x14ac:dyDescent="0.25">
      <c r="A599" t="s">
        <v>596</v>
      </c>
      <c r="B599">
        <v>33.643999999999998</v>
      </c>
      <c r="C599">
        <v>-88.444000000000003</v>
      </c>
    </row>
    <row r="600" spans="1:3" x14ac:dyDescent="0.25">
      <c r="A600" t="s">
        <v>597</v>
      </c>
      <c r="B600">
        <v>34.261000000000003</v>
      </c>
      <c r="C600">
        <v>-88.771000000000001</v>
      </c>
    </row>
    <row r="601" spans="1:3" x14ac:dyDescent="0.25">
      <c r="A601" t="s">
        <v>598</v>
      </c>
      <c r="B601">
        <v>36.261000000000003</v>
      </c>
      <c r="C601">
        <v>-76.174999999999997</v>
      </c>
    </row>
    <row r="602" spans="1:3" x14ac:dyDescent="0.25">
      <c r="A602" t="s">
        <v>599</v>
      </c>
      <c r="B602">
        <v>30.407</v>
      </c>
      <c r="C602">
        <v>-89.07</v>
      </c>
    </row>
    <row r="603" spans="1:3" x14ac:dyDescent="0.25">
      <c r="A603" t="s">
        <v>600</v>
      </c>
      <c r="B603">
        <v>30.411000000000001</v>
      </c>
      <c r="C603">
        <v>-88.924000000000007</v>
      </c>
    </row>
    <row r="604" spans="1:3" x14ac:dyDescent="0.25">
      <c r="A604" t="s">
        <v>601</v>
      </c>
      <c r="B604">
        <v>30.463999999999999</v>
      </c>
      <c r="C604">
        <v>-88.531999999999996</v>
      </c>
    </row>
    <row r="605" spans="1:3" x14ac:dyDescent="0.25">
      <c r="A605" t="s">
        <v>602</v>
      </c>
      <c r="B605">
        <v>46.427999999999997</v>
      </c>
      <c r="C605">
        <v>-105.886</v>
      </c>
    </row>
    <row r="606" spans="1:3" x14ac:dyDescent="0.25">
      <c r="A606" t="s">
        <v>603</v>
      </c>
      <c r="B606">
        <v>45.808</v>
      </c>
      <c r="C606">
        <v>-108.54300000000001</v>
      </c>
    </row>
    <row r="607" spans="1:3" x14ac:dyDescent="0.25">
      <c r="A607" t="s">
        <v>604</v>
      </c>
      <c r="B607">
        <v>47.048999999999999</v>
      </c>
      <c r="C607">
        <v>-109.467</v>
      </c>
    </row>
    <row r="608" spans="1:3" x14ac:dyDescent="0.25">
      <c r="A608" t="s">
        <v>605</v>
      </c>
      <c r="B608">
        <v>46.357999999999997</v>
      </c>
      <c r="C608">
        <v>-104.25</v>
      </c>
    </row>
    <row r="609" spans="1:3" x14ac:dyDescent="0.25">
      <c r="A609" t="s">
        <v>606</v>
      </c>
      <c r="B609">
        <v>45.953000000000003</v>
      </c>
      <c r="C609">
        <v>-112.51300000000001</v>
      </c>
    </row>
    <row r="610" spans="1:3" x14ac:dyDescent="0.25">
      <c r="A610" t="s">
        <v>607</v>
      </c>
      <c r="B610">
        <v>45.953000000000003</v>
      </c>
      <c r="C610">
        <v>-112.51300000000001</v>
      </c>
    </row>
    <row r="611" spans="1:3" x14ac:dyDescent="0.25">
      <c r="A611" t="s">
        <v>608</v>
      </c>
      <c r="B611">
        <v>45.255000000000003</v>
      </c>
      <c r="C611">
        <v>-112.55200000000001</v>
      </c>
    </row>
    <row r="612" spans="1:3" x14ac:dyDescent="0.25">
      <c r="A612" t="s">
        <v>609</v>
      </c>
      <c r="B612">
        <v>45.793999999999997</v>
      </c>
      <c r="C612">
        <v>-111.152</v>
      </c>
    </row>
    <row r="613" spans="1:3" x14ac:dyDescent="0.25">
      <c r="A613" t="s">
        <v>610</v>
      </c>
      <c r="B613">
        <v>48.213999999999999</v>
      </c>
      <c r="C613">
        <v>-106.621</v>
      </c>
    </row>
    <row r="614" spans="1:3" x14ac:dyDescent="0.25">
      <c r="A614" t="s">
        <v>611</v>
      </c>
      <c r="B614">
        <v>47.326000000000001</v>
      </c>
      <c r="C614">
        <v>-106.94799999999999</v>
      </c>
    </row>
    <row r="615" spans="1:3" x14ac:dyDescent="0.25">
      <c r="A615" t="s">
        <v>612</v>
      </c>
      <c r="B615">
        <v>48.094000000000001</v>
      </c>
      <c r="C615">
        <v>-105.574</v>
      </c>
    </row>
    <row r="616" spans="1:3" x14ac:dyDescent="0.25">
      <c r="A616" t="s">
        <v>613</v>
      </c>
      <c r="B616">
        <v>46.606000000000002</v>
      </c>
      <c r="C616">
        <v>-111.964</v>
      </c>
    </row>
    <row r="617" spans="1:3" x14ac:dyDescent="0.25">
      <c r="A617" t="s">
        <v>614</v>
      </c>
      <c r="B617">
        <v>46.920999999999999</v>
      </c>
      <c r="C617">
        <v>-114.093</v>
      </c>
    </row>
    <row r="618" spans="1:3" x14ac:dyDescent="0.25">
      <c r="A618" t="s">
        <v>615</v>
      </c>
      <c r="B618">
        <v>47.472999999999999</v>
      </c>
      <c r="C618">
        <v>-111.38200000000001</v>
      </c>
    </row>
    <row r="619" spans="1:3" x14ac:dyDescent="0.25">
      <c r="A619" t="s">
        <v>616</v>
      </c>
      <c r="B619">
        <v>47.503999999999998</v>
      </c>
      <c r="C619">
        <v>-111.187</v>
      </c>
    </row>
    <row r="620" spans="1:3" x14ac:dyDescent="0.25">
      <c r="A620" t="s">
        <v>617</v>
      </c>
      <c r="B620">
        <v>48.304000000000002</v>
      </c>
      <c r="C620">
        <v>-114.264</v>
      </c>
    </row>
    <row r="621" spans="1:3" x14ac:dyDescent="0.25">
      <c r="A621" t="s">
        <v>618</v>
      </c>
      <c r="B621">
        <v>48.607999999999997</v>
      </c>
      <c r="C621">
        <v>-112.376</v>
      </c>
    </row>
    <row r="622" spans="1:3" x14ac:dyDescent="0.25">
      <c r="A622" t="s">
        <v>619</v>
      </c>
      <c r="B622">
        <v>46.427999999999997</v>
      </c>
      <c r="C622">
        <v>-105.886</v>
      </c>
    </row>
    <row r="623" spans="1:3" x14ac:dyDescent="0.25">
      <c r="A623" t="s">
        <v>620</v>
      </c>
      <c r="B623">
        <v>35.14</v>
      </c>
      <c r="C623">
        <v>-78.95</v>
      </c>
    </row>
    <row r="624" spans="1:3" x14ac:dyDescent="0.25">
      <c r="A624" t="s">
        <v>621</v>
      </c>
      <c r="B624">
        <v>34.268000000000001</v>
      </c>
      <c r="C624">
        <v>-77.906000000000006</v>
      </c>
    </row>
    <row r="625" spans="1:3" x14ac:dyDescent="0.25">
      <c r="A625" t="s">
        <v>622</v>
      </c>
      <c r="B625">
        <v>34.268000000000001</v>
      </c>
      <c r="C625">
        <v>-77.906000000000006</v>
      </c>
    </row>
    <row r="626" spans="1:3" x14ac:dyDescent="0.25">
      <c r="A626" t="s">
        <v>623</v>
      </c>
      <c r="B626">
        <v>35.170999999999999</v>
      </c>
      <c r="C626">
        <v>-79.013999999999996</v>
      </c>
    </row>
    <row r="627" spans="1:3" x14ac:dyDescent="0.25">
      <c r="A627" t="s">
        <v>624</v>
      </c>
      <c r="B627">
        <v>35.036000000000001</v>
      </c>
      <c r="C627">
        <v>-79.498000000000005</v>
      </c>
    </row>
    <row r="628" spans="1:3" x14ac:dyDescent="0.25">
      <c r="A628" t="s">
        <v>625</v>
      </c>
      <c r="B628">
        <v>34.991</v>
      </c>
      <c r="C628">
        <v>-78.88</v>
      </c>
    </row>
    <row r="629" spans="1:3" x14ac:dyDescent="0.25">
      <c r="A629" t="s">
        <v>626</v>
      </c>
      <c r="B629">
        <v>34.734000000000002</v>
      </c>
      <c r="C629">
        <v>-76.661000000000001</v>
      </c>
    </row>
    <row r="630" spans="1:3" x14ac:dyDescent="0.25">
      <c r="A630" t="s">
        <v>627</v>
      </c>
      <c r="B630">
        <v>35.231999999999999</v>
      </c>
      <c r="C630">
        <v>-75.623000000000005</v>
      </c>
    </row>
    <row r="631" spans="1:3" x14ac:dyDescent="0.25">
      <c r="A631" t="s">
        <v>628</v>
      </c>
      <c r="B631">
        <v>35.871000000000002</v>
      </c>
      <c r="C631">
        <v>-78.786000000000001</v>
      </c>
    </row>
    <row r="632" spans="1:3" x14ac:dyDescent="0.25">
      <c r="A632" t="s">
        <v>629</v>
      </c>
      <c r="B632">
        <v>35.634999999999998</v>
      </c>
      <c r="C632">
        <v>-77.382999999999996</v>
      </c>
    </row>
    <row r="633" spans="1:3" x14ac:dyDescent="0.25">
      <c r="A633" t="s">
        <v>630</v>
      </c>
      <c r="B633">
        <v>35.338999999999999</v>
      </c>
      <c r="C633">
        <v>-77.960999999999999</v>
      </c>
    </row>
    <row r="634" spans="1:3" x14ac:dyDescent="0.25">
      <c r="A634" t="s">
        <v>631</v>
      </c>
      <c r="B634">
        <v>35.854999999999997</v>
      </c>
      <c r="C634">
        <v>-77.893000000000001</v>
      </c>
    </row>
    <row r="635" spans="1:3" x14ac:dyDescent="0.25">
      <c r="A635" t="s">
        <v>632</v>
      </c>
      <c r="B635">
        <v>34.9</v>
      </c>
      <c r="C635">
        <v>-76.882999999999996</v>
      </c>
    </row>
    <row r="636" spans="1:3" x14ac:dyDescent="0.25">
      <c r="A636" t="s">
        <v>633</v>
      </c>
      <c r="B636">
        <v>35.067999999999998</v>
      </c>
      <c r="C636">
        <v>-77.046999999999997</v>
      </c>
    </row>
    <row r="637" spans="1:3" x14ac:dyDescent="0.25">
      <c r="A637" t="s">
        <v>634</v>
      </c>
      <c r="B637">
        <v>34.700000000000003</v>
      </c>
      <c r="C637">
        <v>-77.433000000000007</v>
      </c>
    </row>
    <row r="638" spans="1:3" x14ac:dyDescent="0.25">
      <c r="A638" t="s">
        <v>635</v>
      </c>
      <c r="B638">
        <v>34.691000000000003</v>
      </c>
      <c r="C638">
        <v>-77.03</v>
      </c>
    </row>
    <row r="639" spans="1:3" x14ac:dyDescent="0.25">
      <c r="A639" t="s">
        <v>636</v>
      </c>
      <c r="B639">
        <v>34.61</v>
      </c>
      <c r="C639">
        <v>-79.058999999999997</v>
      </c>
    </row>
    <row r="640" spans="1:3" x14ac:dyDescent="0.25">
      <c r="A640" t="s">
        <v>637</v>
      </c>
      <c r="B640">
        <v>34.792000000000002</v>
      </c>
      <c r="C640">
        <v>-79.366</v>
      </c>
    </row>
    <row r="641" spans="1:3" x14ac:dyDescent="0.25">
      <c r="A641" t="s">
        <v>638</v>
      </c>
      <c r="B641">
        <v>35.231999999999999</v>
      </c>
      <c r="C641">
        <v>-75.623000000000005</v>
      </c>
    </row>
    <row r="642" spans="1:3" x14ac:dyDescent="0.25">
      <c r="A642" t="s">
        <v>639</v>
      </c>
      <c r="B642">
        <v>35.213999999999999</v>
      </c>
      <c r="C642">
        <v>-80.944000000000003</v>
      </c>
    </row>
    <row r="643" spans="1:3" x14ac:dyDescent="0.25">
      <c r="A643" t="s">
        <v>640</v>
      </c>
      <c r="B643">
        <v>35.741</v>
      </c>
      <c r="C643">
        <v>-81.39</v>
      </c>
    </row>
    <row r="644" spans="1:3" x14ac:dyDescent="0.25">
      <c r="A644" t="s">
        <v>641</v>
      </c>
      <c r="B644">
        <v>35.197000000000003</v>
      </c>
      <c r="C644">
        <v>-81.156000000000006</v>
      </c>
    </row>
    <row r="645" spans="1:3" x14ac:dyDescent="0.25">
      <c r="A645" t="s">
        <v>642</v>
      </c>
      <c r="B645">
        <v>35.432000000000002</v>
      </c>
      <c r="C645">
        <v>-82.537999999999997</v>
      </c>
    </row>
    <row r="646" spans="1:3" x14ac:dyDescent="0.25">
      <c r="A646" t="s">
        <v>643</v>
      </c>
      <c r="B646">
        <v>36.097999999999999</v>
      </c>
      <c r="C646">
        <v>-79.944000000000003</v>
      </c>
    </row>
    <row r="647" spans="1:3" x14ac:dyDescent="0.25">
      <c r="A647" t="s">
        <v>644</v>
      </c>
      <c r="B647">
        <v>36.046999999999997</v>
      </c>
      <c r="C647">
        <v>-79.477000000000004</v>
      </c>
    </row>
    <row r="648" spans="1:3" x14ac:dyDescent="0.25">
      <c r="A648" t="s">
        <v>645</v>
      </c>
      <c r="B648">
        <v>36.134</v>
      </c>
      <c r="C648">
        <v>-80.221999999999994</v>
      </c>
    </row>
    <row r="649" spans="1:3" x14ac:dyDescent="0.25">
      <c r="A649" t="s">
        <v>646</v>
      </c>
      <c r="B649">
        <v>35.017000000000003</v>
      </c>
      <c r="C649">
        <v>-80.620999999999995</v>
      </c>
    </row>
    <row r="650" spans="1:3" x14ac:dyDescent="0.25">
      <c r="A650" t="s">
        <v>647</v>
      </c>
      <c r="B650">
        <v>36.439</v>
      </c>
      <c r="C650">
        <v>-77.709999999999994</v>
      </c>
    </row>
    <row r="651" spans="1:3" x14ac:dyDescent="0.25">
      <c r="A651" t="s">
        <v>648</v>
      </c>
      <c r="B651">
        <v>35.131999999999998</v>
      </c>
      <c r="C651">
        <v>-78.936999999999998</v>
      </c>
    </row>
    <row r="652" spans="1:3" x14ac:dyDescent="0.25">
      <c r="A652" t="s">
        <v>649</v>
      </c>
      <c r="B652">
        <v>35.933</v>
      </c>
      <c r="C652">
        <v>-79.063999999999993</v>
      </c>
    </row>
    <row r="653" spans="1:3" x14ac:dyDescent="0.25">
      <c r="A653" t="s">
        <v>650</v>
      </c>
      <c r="B653">
        <v>36.261000000000003</v>
      </c>
      <c r="C653">
        <v>-76.174999999999997</v>
      </c>
    </row>
    <row r="654" spans="1:3" x14ac:dyDescent="0.25">
      <c r="A654" t="s">
        <v>651</v>
      </c>
      <c r="B654">
        <v>46.924999999999997</v>
      </c>
      <c r="C654">
        <v>-96.811000000000007</v>
      </c>
    </row>
    <row r="655" spans="1:3" x14ac:dyDescent="0.25">
      <c r="A655" t="s">
        <v>652</v>
      </c>
      <c r="B655">
        <v>46.93</v>
      </c>
      <c r="C655">
        <v>-98.677999999999997</v>
      </c>
    </row>
    <row r="656" spans="1:3" x14ac:dyDescent="0.25">
      <c r="A656" t="s">
        <v>653</v>
      </c>
      <c r="B656">
        <v>47.933</v>
      </c>
      <c r="C656">
        <v>-97.167000000000002</v>
      </c>
    </row>
    <row r="657" spans="1:3" x14ac:dyDescent="0.25">
      <c r="A657" t="s">
        <v>654</v>
      </c>
      <c r="B657">
        <v>48.116999999999997</v>
      </c>
      <c r="C657">
        <v>-98.9</v>
      </c>
    </row>
    <row r="658" spans="1:3" x14ac:dyDescent="0.25">
      <c r="A658" t="s">
        <v>655</v>
      </c>
      <c r="B658">
        <v>47.960999999999999</v>
      </c>
      <c r="C658">
        <v>-97.400999999999996</v>
      </c>
    </row>
    <row r="659" spans="1:3" x14ac:dyDescent="0.25">
      <c r="A659" t="s">
        <v>656</v>
      </c>
      <c r="B659">
        <v>47.948999999999998</v>
      </c>
      <c r="C659">
        <v>-97.176000000000002</v>
      </c>
    </row>
    <row r="660" spans="1:3" x14ac:dyDescent="0.25">
      <c r="A660" t="s">
        <v>657</v>
      </c>
      <c r="B660">
        <v>46.774000000000001</v>
      </c>
      <c r="C660">
        <v>-100.748</v>
      </c>
    </row>
    <row r="661" spans="1:3" x14ac:dyDescent="0.25">
      <c r="A661" t="s">
        <v>658</v>
      </c>
      <c r="B661">
        <v>46.796999999999997</v>
      </c>
      <c r="C661">
        <v>-102.80200000000001</v>
      </c>
    </row>
    <row r="662" spans="1:3" x14ac:dyDescent="0.25">
      <c r="A662" t="s">
        <v>659</v>
      </c>
      <c r="B662">
        <v>48.195</v>
      </c>
      <c r="C662">
        <v>-103.642</v>
      </c>
    </row>
    <row r="663" spans="1:3" x14ac:dyDescent="0.25">
      <c r="A663" t="s">
        <v>660</v>
      </c>
      <c r="B663">
        <v>48.432000000000002</v>
      </c>
      <c r="C663">
        <v>-101.358</v>
      </c>
    </row>
    <row r="664" spans="1:3" x14ac:dyDescent="0.25">
      <c r="A664" t="s">
        <v>661</v>
      </c>
      <c r="B664">
        <v>48.259</v>
      </c>
      <c r="C664">
        <v>-101.28100000000001</v>
      </c>
    </row>
    <row r="665" spans="1:3" x14ac:dyDescent="0.25">
      <c r="A665" t="s">
        <v>662</v>
      </c>
      <c r="B665">
        <v>47.662999999999997</v>
      </c>
      <c r="C665">
        <v>-101.43899999999999</v>
      </c>
    </row>
    <row r="666" spans="1:3" x14ac:dyDescent="0.25">
      <c r="A666" t="s">
        <v>663</v>
      </c>
      <c r="B666">
        <v>41.31</v>
      </c>
      <c r="C666">
        <v>-95.899000000000001</v>
      </c>
    </row>
    <row r="667" spans="1:3" x14ac:dyDescent="0.25">
      <c r="A667" t="s">
        <v>664</v>
      </c>
      <c r="B667">
        <v>40.831000000000003</v>
      </c>
      <c r="C667">
        <v>-96.763999999999996</v>
      </c>
    </row>
    <row r="668" spans="1:3" x14ac:dyDescent="0.25">
      <c r="A668" t="s">
        <v>665</v>
      </c>
      <c r="B668">
        <v>40.301000000000002</v>
      </c>
      <c r="C668">
        <v>-96.75</v>
      </c>
    </row>
    <row r="669" spans="1:3" x14ac:dyDescent="0.25">
      <c r="A669" t="s">
        <v>666</v>
      </c>
      <c r="B669">
        <v>40.957999999999998</v>
      </c>
      <c r="C669">
        <v>-98.313000000000002</v>
      </c>
    </row>
    <row r="670" spans="1:3" x14ac:dyDescent="0.25">
      <c r="A670" t="s">
        <v>667</v>
      </c>
      <c r="B670">
        <v>41.624000000000002</v>
      </c>
      <c r="C670">
        <v>-98.951999999999998</v>
      </c>
    </row>
    <row r="671" spans="1:3" x14ac:dyDescent="0.25">
      <c r="A671" t="s">
        <v>668</v>
      </c>
      <c r="B671">
        <v>40.603999999999999</v>
      </c>
      <c r="C671">
        <v>-98.427000000000007</v>
      </c>
    </row>
    <row r="672" spans="1:3" x14ac:dyDescent="0.25">
      <c r="A672" t="s">
        <v>669</v>
      </c>
      <c r="B672">
        <v>40.725999999999999</v>
      </c>
      <c r="C672">
        <v>-99</v>
      </c>
    </row>
    <row r="673" spans="1:3" x14ac:dyDescent="0.25">
      <c r="A673" t="s">
        <v>670</v>
      </c>
      <c r="B673">
        <v>41.764000000000003</v>
      </c>
      <c r="C673">
        <v>-96.177999999999997</v>
      </c>
    </row>
    <row r="674" spans="1:3" x14ac:dyDescent="0.25">
      <c r="A674" t="s">
        <v>671</v>
      </c>
      <c r="B674">
        <v>41.366999999999997</v>
      </c>
      <c r="C674">
        <v>-96.016999999999996</v>
      </c>
    </row>
    <row r="675" spans="1:3" x14ac:dyDescent="0.25">
      <c r="A675" t="s">
        <v>672</v>
      </c>
      <c r="B675">
        <v>40.079000000000001</v>
      </c>
      <c r="C675">
        <v>-95.591999999999999</v>
      </c>
    </row>
    <row r="676" spans="1:3" x14ac:dyDescent="0.25">
      <c r="A676" t="s">
        <v>673</v>
      </c>
      <c r="B676">
        <v>41.118000000000002</v>
      </c>
      <c r="C676">
        <v>-95.763999999999996</v>
      </c>
    </row>
    <row r="677" spans="1:3" x14ac:dyDescent="0.25">
      <c r="A677" t="s">
        <v>674</v>
      </c>
      <c r="B677">
        <v>41.436999999999998</v>
      </c>
      <c r="C677">
        <v>-99.638999999999996</v>
      </c>
    </row>
    <row r="678" spans="1:3" x14ac:dyDescent="0.25">
      <c r="A678" t="s">
        <v>675</v>
      </c>
      <c r="B678">
        <v>42.579000000000001</v>
      </c>
      <c r="C678">
        <v>-99.983999999999995</v>
      </c>
    </row>
    <row r="679" spans="1:3" x14ac:dyDescent="0.25">
      <c r="A679" t="s">
        <v>676</v>
      </c>
      <c r="B679">
        <v>41.981000000000002</v>
      </c>
      <c r="C679">
        <v>-97.436999999999998</v>
      </c>
    </row>
    <row r="680" spans="1:3" x14ac:dyDescent="0.25">
      <c r="A680" t="s">
        <v>677</v>
      </c>
      <c r="B680">
        <v>41.100999999999999</v>
      </c>
      <c r="C680">
        <v>-102.985</v>
      </c>
    </row>
    <row r="681" spans="1:3" x14ac:dyDescent="0.25">
      <c r="A681" t="s">
        <v>678</v>
      </c>
      <c r="B681">
        <v>41.122</v>
      </c>
      <c r="C681">
        <v>-100.66800000000001</v>
      </c>
    </row>
    <row r="682" spans="1:3" x14ac:dyDescent="0.25">
      <c r="A682" t="s">
        <v>679</v>
      </c>
      <c r="B682">
        <v>40.206000000000003</v>
      </c>
      <c r="C682">
        <v>-100.59099999999999</v>
      </c>
    </row>
    <row r="683" spans="1:3" x14ac:dyDescent="0.25">
      <c r="A683" t="s">
        <v>680</v>
      </c>
      <c r="B683">
        <v>40.51</v>
      </c>
      <c r="C683">
        <v>-101.62</v>
      </c>
    </row>
    <row r="684" spans="1:3" x14ac:dyDescent="0.25">
      <c r="A684" t="s">
        <v>681</v>
      </c>
      <c r="B684">
        <v>41.100999999999999</v>
      </c>
      <c r="C684">
        <v>-102.985</v>
      </c>
    </row>
    <row r="685" spans="1:3" x14ac:dyDescent="0.25">
      <c r="A685" t="s">
        <v>682</v>
      </c>
      <c r="B685">
        <v>42.057000000000002</v>
      </c>
      <c r="C685">
        <v>-102.8</v>
      </c>
    </row>
    <row r="686" spans="1:3" x14ac:dyDescent="0.25">
      <c r="A686" t="s">
        <v>683</v>
      </c>
      <c r="B686">
        <v>42.838000000000001</v>
      </c>
      <c r="C686">
        <v>-103.095</v>
      </c>
    </row>
    <row r="687" spans="1:3" x14ac:dyDescent="0.25">
      <c r="A687" t="s">
        <v>684</v>
      </c>
      <c r="B687">
        <v>41.874000000000002</v>
      </c>
      <c r="C687">
        <v>-103.595</v>
      </c>
    </row>
    <row r="688" spans="1:3" x14ac:dyDescent="0.25">
      <c r="A688" t="s">
        <v>685</v>
      </c>
      <c r="B688">
        <v>43.195</v>
      </c>
      <c r="C688">
        <v>-71.501000000000005</v>
      </c>
    </row>
    <row r="689" spans="1:3" x14ac:dyDescent="0.25">
      <c r="A689" t="s">
        <v>686</v>
      </c>
      <c r="B689">
        <v>43.078000000000003</v>
      </c>
      <c r="C689">
        <v>-70.822999999999993</v>
      </c>
    </row>
    <row r="690" spans="1:3" x14ac:dyDescent="0.25">
      <c r="A690" t="s">
        <v>687</v>
      </c>
      <c r="B690">
        <v>43.277999999999999</v>
      </c>
      <c r="C690">
        <v>-70.921999999999997</v>
      </c>
    </row>
    <row r="691" spans="1:3" x14ac:dyDescent="0.25">
      <c r="A691" t="s">
        <v>688</v>
      </c>
      <c r="B691">
        <v>43.625999999999998</v>
      </c>
      <c r="C691">
        <v>-72.305000000000007</v>
      </c>
    </row>
    <row r="692" spans="1:3" x14ac:dyDescent="0.25">
      <c r="A692" t="s">
        <v>689</v>
      </c>
      <c r="B692">
        <v>43.625999999999998</v>
      </c>
      <c r="C692">
        <v>-72.305000000000007</v>
      </c>
    </row>
    <row r="693" spans="1:3" x14ac:dyDescent="0.25">
      <c r="A693" t="s">
        <v>690</v>
      </c>
      <c r="B693">
        <v>44.576000000000001</v>
      </c>
      <c r="C693">
        <v>-71.179000000000002</v>
      </c>
    </row>
    <row r="694" spans="1:3" x14ac:dyDescent="0.25">
      <c r="A694" t="s">
        <v>691</v>
      </c>
      <c r="B694">
        <v>42.805</v>
      </c>
      <c r="C694">
        <v>-72.004000000000005</v>
      </c>
    </row>
    <row r="695" spans="1:3" x14ac:dyDescent="0.25">
      <c r="A695" t="s">
        <v>692</v>
      </c>
      <c r="B695">
        <v>44.366999999999997</v>
      </c>
      <c r="C695">
        <v>-71.55</v>
      </c>
    </row>
    <row r="696" spans="1:3" x14ac:dyDescent="0.25">
      <c r="A696" t="s">
        <v>693</v>
      </c>
      <c r="B696">
        <v>42.933</v>
      </c>
      <c r="C696">
        <v>-71.438000000000002</v>
      </c>
    </row>
    <row r="697" spans="1:3" x14ac:dyDescent="0.25">
      <c r="A697" t="s">
        <v>694</v>
      </c>
      <c r="B697">
        <v>42.781999999999996</v>
      </c>
      <c r="C697">
        <v>-71.515000000000001</v>
      </c>
    </row>
    <row r="698" spans="1:3" x14ac:dyDescent="0.25">
      <c r="A698" t="s">
        <v>695</v>
      </c>
      <c r="B698">
        <v>39.457999999999998</v>
      </c>
      <c r="C698">
        <v>-74.576999999999998</v>
      </c>
    </row>
    <row r="699" spans="1:3" x14ac:dyDescent="0.25">
      <c r="A699" t="s">
        <v>696</v>
      </c>
      <c r="B699">
        <v>39.941000000000003</v>
      </c>
      <c r="C699">
        <v>-74.840999999999994</v>
      </c>
    </row>
    <row r="700" spans="1:3" x14ac:dyDescent="0.25">
      <c r="A700" t="s">
        <v>697</v>
      </c>
      <c r="B700">
        <v>39.366</v>
      </c>
      <c r="C700">
        <v>-75.078000000000003</v>
      </c>
    </row>
    <row r="701" spans="1:3" x14ac:dyDescent="0.25">
      <c r="A701" t="s">
        <v>698</v>
      </c>
      <c r="B701">
        <v>41.009</v>
      </c>
      <c r="C701">
        <v>-74.736999999999995</v>
      </c>
    </row>
    <row r="702" spans="1:3" x14ac:dyDescent="0.25">
      <c r="A702" t="s">
        <v>699</v>
      </c>
      <c r="B702">
        <v>40.033000000000001</v>
      </c>
      <c r="C702">
        <v>-74.349999999999994</v>
      </c>
    </row>
    <row r="703" spans="1:3" x14ac:dyDescent="0.25">
      <c r="A703" t="s">
        <v>700</v>
      </c>
      <c r="B703">
        <v>40.875999999999998</v>
      </c>
      <c r="C703">
        <v>-74.283000000000001</v>
      </c>
    </row>
    <row r="704" spans="1:3" x14ac:dyDescent="0.25">
      <c r="A704" t="s">
        <v>701</v>
      </c>
      <c r="B704">
        <v>40.277000000000001</v>
      </c>
      <c r="C704">
        <v>-74.813999999999993</v>
      </c>
    </row>
    <row r="705" spans="1:3" x14ac:dyDescent="0.25">
      <c r="A705" t="s">
        <v>702</v>
      </c>
      <c r="B705">
        <v>40.015999999999998</v>
      </c>
      <c r="C705">
        <v>-74.593000000000004</v>
      </c>
    </row>
    <row r="706" spans="1:3" x14ac:dyDescent="0.25">
      <c r="A706" t="s">
        <v>703</v>
      </c>
      <c r="B706">
        <v>40.798999999999999</v>
      </c>
      <c r="C706">
        <v>-74.415000000000006</v>
      </c>
    </row>
    <row r="707" spans="1:3" x14ac:dyDescent="0.25">
      <c r="A707" t="s">
        <v>704</v>
      </c>
      <c r="B707">
        <v>40.633000000000003</v>
      </c>
      <c r="C707">
        <v>-74.667000000000002</v>
      </c>
    </row>
    <row r="708" spans="1:3" x14ac:dyDescent="0.25">
      <c r="A708" t="s">
        <v>705</v>
      </c>
      <c r="B708">
        <v>40.683</v>
      </c>
      <c r="C708">
        <v>-74.168999999999997</v>
      </c>
    </row>
    <row r="709" spans="1:3" x14ac:dyDescent="0.25">
      <c r="A709" t="s">
        <v>706</v>
      </c>
      <c r="B709">
        <v>40.85</v>
      </c>
      <c r="C709">
        <v>-74.061000000000007</v>
      </c>
    </row>
    <row r="710" spans="1:3" x14ac:dyDescent="0.25">
      <c r="A710" t="s">
        <v>707</v>
      </c>
      <c r="B710">
        <v>41.2</v>
      </c>
      <c r="C710">
        <v>-74.623000000000005</v>
      </c>
    </row>
    <row r="711" spans="1:3" x14ac:dyDescent="0.25">
      <c r="A711" t="s">
        <v>708</v>
      </c>
      <c r="B711">
        <v>32.067</v>
      </c>
      <c r="C711">
        <v>-106.15</v>
      </c>
    </row>
    <row r="712" spans="1:3" x14ac:dyDescent="0.25">
      <c r="A712" t="s">
        <v>709</v>
      </c>
      <c r="B712">
        <v>30.835999999999999</v>
      </c>
      <c r="C712">
        <v>-85.183999999999997</v>
      </c>
    </row>
    <row r="713" spans="1:3" x14ac:dyDescent="0.25">
      <c r="A713" t="s">
        <v>710</v>
      </c>
      <c r="B713">
        <v>35.003</v>
      </c>
      <c r="C713">
        <v>-105.663</v>
      </c>
    </row>
    <row r="714" spans="1:3" x14ac:dyDescent="0.25">
      <c r="A714" t="s">
        <v>711</v>
      </c>
      <c r="B714">
        <v>36.741</v>
      </c>
      <c r="C714">
        <v>-104.502</v>
      </c>
    </row>
    <row r="715" spans="1:3" x14ac:dyDescent="0.25">
      <c r="A715" t="s">
        <v>712</v>
      </c>
      <c r="B715">
        <v>33.308</v>
      </c>
      <c r="C715">
        <v>-104.541</v>
      </c>
    </row>
    <row r="716" spans="1:3" x14ac:dyDescent="0.25">
      <c r="A716" t="s">
        <v>713</v>
      </c>
      <c r="B716">
        <v>33.35</v>
      </c>
      <c r="C716">
        <v>-105.667</v>
      </c>
    </row>
    <row r="717" spans="1:3" x14ac:dyDescent="0.25">
      <c r="A717" t="s">
        <v>714</v>
      </c>
      <c r="B717">
        <v>34.1</v>
      </c>
      <c r="C717">
        <v>-105.667</v>
      </c>
    </row>
    <row r="718" spans="1:3" x14ac:dyDescent="0.25">
      <c r="A718" t="s">
        <v>715</v>
      </c>
      <c r="B718">
        <v>34.383000000000003</v>
      </c>
      <c r="C718">
        <v>-103.322</v>
      </c>
    </row>
    <row r="719" spans="1:3" x14ac:dyDescent="0.25">
      <c r="A719" t="s">
        <v>716</v>
      </c>
      <c r="B719">
        <v>32.338000000000001</v>
      </c>
      <c r="C719">
        <v>-104.26300000000001</v>
      </c>
    </row>
    <row r="720" spans="1:3" x14ac:dyDescent="0.25">
      <c r="A720" t="s">
        <v>717</v>
      </c>
      <c r="B720">
        <v>32.688000000000002</v>
      </c>
      <c r="C720">
        <v>-103.217</v>
      </c>
    </row>
    <row r="721" spans="1:3" x14ac:dyDescent="0.25">
      <c r="A721" t="s">
        <v>718</v>
      </c>
      <c r="B721">
        <v>32.383000000000003</v>
      </c>
      <c r="C721">
        <v>-106.483</v>
      </c>
    </row>
    <row r="722" spans="1:3" x14ac:dyDescent="0.25">
      <c r="A722" t="s">
        <v>719</v>
      </c>
      <c r="B722">
        <v>32.85</v>
      </c>
      <c r="C722">
        <v>-106.1</v>
      </c>
    </row>
    <row r="723" spans="1:3" x14ac:dyDescent="0.25">
      <c r="A723" t="s">
        <v>720</v>
      </c>
      <c r="B723">
        <v>33.237000000000002</v>
      </c>
      <c r="C723">
        <v>-107.268</v>
      </c>
    </row>
    <row r="724" spans="1:3" x14ac:dyDescent="0.25">
      <c r="A724" t="s">
        <v>721</v>
      </c>
      <c r="B724">
        <v>32.262</v>
      </c>
      <c r="C724">
        <v>-107.721</v>
      </c>
    </row>
    <row r="725" spans="1:3" x14ac:dyDescent="0.25">
      <c r="A725" t="s">
        <v>722</v>
      </c>
      <c r="B725">
        <v>36.445999999999998</v>
      </c>
      <c r="C725">
        <v>-103.154</v>
      </c>
    </row>
    <row r="726" spans="1:3" x14ac:dyDescent="0.25">
      <c r="A726" t="s">
        <v>723</v>
      </c>
      <c r="B726">
        <v>35.164999999999999</v>
      </c>
      <c r="C726">
        <v>-107.902</v>
      </c>
    </row>
    <row r="727" spans="1:3" x14ac:dyDescent="0.25">
      <c r="A727" t="s">
        <v>724</v>
      </c>
      <c r="B727">
        <v>35.511000000000003</v>
      </c>
      <c r="C727">
        <v>-108.789</v>
      </c>
    </row>
    <row r="728" spans="1:3" x14ac:dyDescent="0.25">
      <c r="A728" t="s">
        <v>725</v>
      </c>
      <c r="B728">
        <v>35.042000000000002</v>
      </c>
      <c r="C728">
        <v>-106.616</v>
      </c>
    </row>
    <row r="729" spans="1:3" x14ac:dyDescent="0.25">
      <c r="A729" t="s">
        <v>726</v>
      </c>
      <c r="B729">
        <v>35.616999999999997</v>
      </c>
      <c r="C729">
        <v>-106.089</v>
      </c>
    </row>
    <row r="730" spans="1:3" x14ac:dyDescent="0.25">
      <c r="A730" t="s">
        <v>727</v>
      </c>
      <c r="B730">
        <v>36.744</v>
      </c>
      <c r="C730">
        <v>-108.229</v>
      </c>
    </row>
    <row r="731" spans="1:3" x14ac:dyDescent="0.25">
      <c r="A731" t="s">
        <v>728</v>
      </c>
      <c r="B731">
        <v>36.445999999999998</v>
      </c>
      <c r="C731">
        <v>-103.154</v>
      </c>
    </row>
    <row r="732" spans="1:3" x14ac:dyDescent="0.25">
      <c r="A732" t="s">
        <v>729</v>
      </c>
      <c r="B732">
        <v>35.182000000000002</v>
      </c>
      <c r="C732">
        <v>-103.60299999999999</v>
      </c>
    </row>
    <row r="733" spans="1:3" x14ac:dyDescent="0.25">
      <c r="A733" t="s">
        <v>730</v>
      </c>
      <c r="B733">
        <v>35.654000000000003</v>
      </c>
      <c r="C733">
        <v>-105.143</v>
      </c>
    </row>
    <row r="734" spans="1:3" x14ac:dyDescent="0.25">
      <c r="A734" t="s">
        <v>731</v>
      </c>
      <c r="B734">
        <v>34.933</v>
      </c>
      <c r="C734">
        <v>-105.583</v>
      </c>
    </row>
    <row r="735" spans="1:3" x14ac:dyDescent="0.25">
      <c r="A735" t="s">
        <v>732</v>
      </c>
      <c r="B735">
        <v>34.299999999999997</v>
      </c>
      <c r="C735">
        <v>-103.8</v>
      </c>
    </row>
    <row r="736" spans="1:3" x14ac:dyDescent="0.25">
      <c r="A736" t="s">
        <v>733</v>
      </c>
      <c r="B736">
        <v>32.850999999999999</v>
      </c>
      <c r="C736">
        <v>-106.102</v>
      </c>
    </row>
    <row r="737" spans="1:3" x14ac:dyDescent="0.25">
      <c r="A737" t="s">
        <v>734</v>
      </c>
      <c r="B737">
        <v>33.9</v>
      </c>
      <c r="C737">
        <v>-106.4</v>
      </c>
    </row>
    <row r="738" spans="1:3" x14ac:dyDescent="0.25">
      <c r="A738" t="s">
        <v>735</v>
      </c>
      <c r="B738">
        <v>32.633000000000003</v>
      </c>
      <c r="C738">
        <v>-106.4</v>
      </c>
    </row>
    <row r="739" spans="1:3" x14ac:dyDescent="0.25">
      <c r="A739" t="s">
        <v>736</v>
      </c>
      <c r="B739">
        <v>36.533000000000001</v>
      </c>
      <c r="C739">
        <v>-115.56699999999999</v>
      </c>
    </row>
    <row r="740" spans="1:3" x14ac:dyDescent="0.25">
      <c r="A740" t="s">
        <v>737</v>
      </c>
      <c r="B740">
        <v>35.975999999999999</v>
      </c>
      <c r="C740">
        <v>-115.11799999999999</v>
      </c>
    </row>
    <row r="741" spans="1:3" x14ac:dyDescent="0.25">
      <c r="A741" t="s">
        <v>738</v>
      </c>
      <c r="B741">
        <v>37.616999999999997</v>
      </c>
      <c r="C741">
        <v>-116.264</v>
      </c>
    </row>
    <row r="742" spans="1:3" x14ac:dyDescent="0.25">
      <c r="A742" t="s">
        <v>739</v>
      </c>
      <c r="B742">
        <v>36.950000000000003</v>
      </c>
      <c r="C742">
        <v>-116.05</v>
      </c>
    </row>
    <row r="743" spans="1:3" x14ac:dyDescent="0.25">
      <c r="A743" t="s">
        <v>740</v>
      </c>
      <c r="B743">
        <v>36.079000000000001</v>
      </c>
      <c r="C743">
        <v>-115.155</v>
      </c>
    </row>
    <row r="744" spans="1:3" x14ac:dyDescent="0.25">
      <c r="A744" t="s">
        <v>741</v>
      </c>
      <c r="B744">
        <v>36.235999999999997</v>
      </c>
      <c r="C744">
        <v>-115.03400000000001</v>
      </c>
    </row>
    <row r="745" spans="1:3" x14ac:dyDescent="0.25">
      <c r="A745" t="s">
        <v>742</v>
      </c>
      <c r="B745">
        <v>36.621000000000002</v>
      </c>
      <c r="C745">
        <v>-116.02800000000001</v>
      </c>
    </row>
    <row r="746" spans="1:3" x14ac:dyDescent="0.25">
      <c r="A746" t="s">
        <v>743</v>
      </c>
      <c r="B746">
        <v>37.799999999999997</v>
      </c>
      <c r="C746">
        <v>-116.783</v>
      </c>
    </row>
    <row r="747" spans="1:3" x14ac:dyDescent="0.25">
      <c r="A747" t="s">
        <v>744</v>
      </c>
      <c r="B747">
        <v>36.212000000000003</v>
      </c>
      <c r="C747">
        <v>-115.196</v>
      </c>
    </row>
    <row r="748" spans="1:3" x14ac:dyDescent="0.25">
      <c r="A748" t="s">
        <v>745</v>
      </c>
      <c r="B748">
        <v>38.06</v>
      </c>
      <c r="C748">
        <v>-117.087</v>
      </c>
    </row>
    <row r="749" spans="1:3" x14ac:dyDescent="0.25">
      <c r="A749" t="s">
        <v>746</v>
      </c>
      <c r="B749">
        <v>39.295000000000002</v>
      </c>
      <c r="C749">
        <v>-114.845</v>
      </c>
    </row>
    <row r="750" spans="1:3" x14ac:dyDescent="0.25">
      <c r="A750" t="s">
        <v>747</v>
      </c>
      <c r="B750">
        <v>37.612000000000002</v>
      </c>
      <c r="C750">
        <v>-114.526</v>
      </c>
    </row>
    <row r="751" spans="1:3" x14ac:dyDescent="0.25">
      <c r="A751" t="s">
        <v>748</v>
      </c>
      <c r="B751">
        <v>39.484000000000002</v>
      </c>
      <c r="C751">
        <v>-119.771</v>
      </c>
    </row>
    <row r="752" spans="1:3" x14ac:dyDescent="0.25">
      <c r="A752" t="s">
        <v>749</v>
      </c>
      <c r="B752">
        <v>39.417000000000002</v>
      </c>
      <c r="C752">
        <v>-118.7</v>
      </c>
    </row>
    <row r="753" spans="1:3" x14ac:dyDescent="0.25">
      <c r="A753" t="s">
        <v>750</v>
      </c>
      <c r="B753">
        <v>40.066000000000003</v>
      </c>
      <c r="C753">
        <v>-118.565</v>
      </c>
    </row>
    <row r="754" spans="1:3" x14ac:dyDescent="0.25">
      <c r="A754" t="s">
        <v>751</v>
      </c>
      <c r="B754">
        <v>39.600999999999999</v>
      </c>
      <c r="C754">
        <v>-116.006</v>
      </c>
    </row>
    <row r="755" spans="1:3" x14ac:dyDescent="0.25">
      <c r="A755" t="s">
        <v>752</v>
      </c>
      <c r="B755">
        <v>40.825000000000003</v>
      </c>
      <c r="C755">
        <v>-115.792</v>
      </c>
    </row>
    <row r="756" spans="1:3" x14ac:dyDescent="0.25">
      <c r="A756" t="s">
        <v>753</v>
      </c>
      <c r="B756">
        <v>40.902000000000001</v>
      </c>
      <c r="C756">
        <v>-117.807</v>
      </c>
    </row>
    <row r="757" spans="1:3" x14ac:dyDescent="0.25">
      <c r="A757" t="s">
        <v>754</v>
      </c>
      <c r="B757">
        <v>40.598999999999997</v>
      </c>
      <c r="C757">
        <v>-116.867</v>
      </c>
    </row>
    <row r="758" spans="1:3" x14ac:dyDescent="0.25">
      <c r="A758" t="s">
        <v>755</v>
      </c>
      <c r="B758">
        <v>36.533000000000001</v>
      </c>
      <c r="C758">
        <v>-115.667</v>
      </c>
    </row>
    <row r="759" spans="1:3" x14ac:dyDescent="0.25">
      <c r="A759" t="s">
        <v>756</v>
      </c>
      <c r="B759">
        <v>36.582999999999998</v>
      </c>
      <c r="C759">
        <v>-115.667</v>
      </c>
    </row>
    <row r="760" spans="1:3" x14ac:dyDescent="0.25">
      <c r="A760" t="s">
        <v>757</v>
      </c>
      <c r="B760">
        <v>42.570999999999998</v>
      </c>
      <c r="C760">
        <v>-77.712999999999994</v>
      </c>
    </row>
    <row r="761" spans="1:3" x14ac:dyDescent="0.25">
      <c r="A761" t="s">
        <v>758</v>
      </c>
      <c r="B761">
        <v>41.073</v>
      </c>
      <c r="C761">
        <v>-71.923000000000002</v>
      </c>
    </row>
    <row r="762" spans="1:3" x14ac:dyDescent="0.25">
      <c r="A762" t="s">
        <v>759</v>
      </c>
      <c r="B762">
        <v>41.509</v>
      </c>
      <c r="C762">
        <v>-74.265000000000001</v>
      </c>
    </row>
    <row r="763" spans="1:3" x14ac:dyDescent="0.25">
      <c r="A763" t="s">
        <v>760</v>
      </c>
      <c r="B763">
        <v>40.822000000000003</v>
      </c>
      <c r="C763">
        <v>-72.869</v>
      </c>
    </row>
    <row r="764" spans="1:3" x14ac:dyDescent="0.25">
      <c r="A764" t="s">
        <v>761</v>
      </c>
      <c r="B764">
        <v>40.779000000000003</v>
      </c>
      <c r="C764">
        <v>-73.881</v>
      </c>
    </row>
    <row r="765" spans="1:3" x14ac:dyDescent="0.25">
      <c r="A765" t="s">
        <v>762</v>
      </c>
      <c r="B765">
        <v>40.783000000000001</v>
      </c>
      <c r="C765">
        <v>-73.966999999999999</v>
      </c>
    </row>
    <row r="766" spans="1:3" x14ac:dyDescent="0.25">
      <c r="A766" t="s">
        <v>763</v>
      </c>
      <c r="B766">
        <v>40.793999999999997</v>
      </c>
      <c r="C766">
        <v>-73.102000000000004</v>
      </c>
    </row>
    <row r="767" spans="1:3" x14ac:dyDescent="0.25">
      <c r="A767" t="s">
        <v>764</v>
      </c>
      <c r="B767">
        <v>41.627000000000002</v>
      </c>
      <c r="C767">
        <v>-73.884</v>
      </c>
    </row>
    <row r="768" spans="1:3" x14ac:dyDescent="0.25">
      <c r="A768" t="s">
        <v>765</v>
      </c>
      <c r="B768">
        <v>41.067</v>
      </c>
      <c r="C768">
        <v>-73.707999999999998</v>
      </c>
    </row>
    <row r="769" spans="1:3" x14ac:dyDescent="0.25">
      <c r="A769" t="s">
        <v>766</v>
      </c>
      <c r="B769">
        <v>41.503999999999998</v>
      </c>
      <c r="C769">
        <v>-74.105000000000004</v>
      </c>
    </row>
    <row r="770" spans="1:3" x14ac:dyDescent="0.25">
      <c r="A770" t="s">
        <v>767</v>
      </c>
      <c r="B770">
        <v>41.701000000000001</v>
      </c>
      <c r="C770">
        <v>-74.784000000000006</v>
      </c>
    </row>
    <row r="771" spans="1:3" x14ac:dyDescent="0.25">
      <c r="A771" t="s">
        <v>768</v>
      </c>
      <c r="B771">
        <v>43.35</v>
      </c>
      <c r="C771">
        <v>-76.385000000000005</v>
      </c>
    </row>
    <row r="772" spans="1:3" x14ac:dyDescent="0.25">
      <c r="A772" t="s">
        <v>769</v>
      </c>
      <c r="B772">
        <v>42.207999999999998</v>
      </c>
      <c r="C772">
        <v>-75.980999999999995</v>
      </c>
    </row>
    <row r="773" spans="1:3" x14ac:dyDescent="0.25">
      <c r="A773" t="s">
        <v>770</v>
      </c>
      <c r="B773">
        <v>42.491</v>
      </c>
      <c r="C773">
        <v>-76.457999999999998</v>
      </c>
    </row>
    <row r="774" spans="1:3" x14ac:dyDescent="0.25">
      <c r="A774" t="s">
        <v>771</v>
      </c>
      <c r="B774">
        <v>42.158999999999999</v>
      </c>
      <c r="C774">
        <v>-76.891999999999996</v>
      </c>
    </row>
    <row r="775" spans="1:3" x14ac:dyDescent="0.25">
      <c r="A775" t="s">
        <v>772</v>
      </c>
      <c r="B775">
        <v>42.109000000000002</v>
      </c>
      <c r="C775">
        <v>-77.992000000000004</v>
      </c>
    </row>
    <row r="776" spans="1:3" x14ac:dyDescent="0.25">
      <c r="A776" t="s">
        <v>773</v>
      </c>
      <c r="B776">
        <v>42.747999999999998</v>
      </c>
      <c r="C776">
        <v>-73.802999999999997</v>
      </c>
    </row>
    <row r="777" spans="1:3" x14ac:dyDescent="0.25">
      <c r="A777" t="s">
        <v>774</v>
      </c>
      <c r="B777">
        <v>43.341000000000001</v>
      </c>
      <c r="C777">
        <v>-73.61</v>
      </c>
    </row>
    <row r="778" spans="1:3" x14ac:dyDescent="0.25">
      <c r="A778" t="s">
        <v>775</v>
      </c>
      <c r="B778">
        <v>44.686999999999998</v>
      </c>
      <c r="C778">
        <v>-73.522999999999996</v>
      </c>
    </row>
    <row r="779" spans="1:3" x14ac:dyDescent="0.25">
      <c r="A779" t="s">
        <v>776</v>
      </c>
      <c r="B779">
        <v>43.109000000000002</v>
      </c>
      <c r="C779">
        <v>-76.102999999999994</v>
      </c>
    </row>
    <row r="780" spans="1:3" x14ac:dyDescent="0.25">
      <c r="A780" t="s">
        <v>777</v>
      </c>
      <c r="B780">
        <v>42.643000000000001</v>
      </c>
      <c r="C780">
        <v>-77.055999999999997</v>
      </c>
    </row>
    <row r="781" spans="1:3" x14ac:dyDescent="0.25">
      <c r="A781" t="s">
        <v>778</v>
      </c>
      <c r="B781">
        <v>43.232999999999997</v>
      </c>
      <c r="C781">
        <v>-75.400000000000006</v>
      </c>
    </row>
    <row r="782" spans="1:3" x14ac:dyDescent="0.25">
      <c r="A782" t="s">
        <v>779</v>
      </c>
      <c r="B782">
        <v>43.145000000000003</v>
      </c>
      <c r="C782">
        <v>-75.384</v>
      </c>
    </row>
    <row r="783" spans="1:3" x14ac:dyDescent="0.25">
      <c r="A783" t="s">
        <v>780</v>
      </c>
      <c r="B783">
        <v>42.152999999999999</v>
      </c>
      <c r="C783">
        <v>-79.251000000000005</v>
      </c>
    </row>
    <row r="784" spans="1:3" x14ac:dyDescent="0.25">
      <c r="A784" t="s">
        <v>781</v>
      </c>
      <c r="B784">
        <v>42.941000000000003</v>
      </c>
      <c r="C784">
        <v>-78.736000000000004</v>
      </c>
    </row>
    <row r="785" spans="1:3" x14ac:dyDescent="0.25">
      <c r="A785" t="s">
        <v>782</v>
      </c>
      <c r="B785">
        <v>43.106999999999999</v>
      </c>
      <c r="C785">
        <v>-78.944999999999993</v>
      </c>
    </row>
    <row r="786" spans="1:3" x14ac:dyDescent="0.25">
      <c r="A786" t="s">
        <v>783</v>
      </c>
      <c r="B786">
        <v>43.116999999999997</v>
      </c>
      <c r="C786">
        <v>-77.677000000000007</v>
      </c>
    </row>
    <row r="787" spans="1:3" x14ac:dyDescent="0.25">
      <c r="A787" t="s">
        <v>784</v>
      </c>
      <c r="B787">
        <v>44.936</v>
      </c>
      <c r="C787">
        <v>-74.846000000000004</v>
      </c>
    </row>
    <row r="788" spans="1:3" x14ac:dyDescent="0.25">
      <c r="A788" t="s">
        <v>785</v>
      </c>
      <c r="B788">
        <v>44.936</v>
      </c>
      <c r="C788">
        <v>-74.846000000000004</v>
      </c>
    </row>
    <row r="789" spans="1:3" x14ac:dyDescent="0.25">
      <c r="A789" t="s">
        <v>786</v>
      </c>
      <c r="B789">
        <v>44.65</v>
      </c>
      <c r="C789">
        <v>-73.466999999999999</v>
      </c>
    </row>
    <row r="790" spans="1:3" x14ac:dyDescent="0.25">
      <c r="A790" t="s">
        <v>787</v>
      </c>
      <c r="B790">
        <v>43.991999999999997</v>
      </c>
      <c r="C790">
        <v>-76.022000000000006</v>
      </c>
    </row>
    <row r="791" spans="1:3" x14ac:dyDescent="0.25">
      <c r="A791" t="s">
        <v>788</v>
      </c>
      <c r="B791">
        <v>44.384999999999998</v>
      </c>
      <c r="C791">
        <v>-74.206999999999994</v>
      </c>
    </row>
    <row r="792" spans="1:3" x14ac:dyDescent="0.25">
      <c r="A792" t="s">
        <v>789</v>
      </c>
      <c r="B792">
        <v>44.052</v>
      </c>
      <c r="C792">
        <v>-75.721999999999994</v>
      </c>
    </row>
    <row r="793" spans="1:3" x14ac:dyDescent="0.25">
      <c r="A793" t="s">
        <v>790</v>
      </c>
      <c r="B793">
        <v>40.655000000000001</v>
      </c>
      <c r="C793">
        <v>-73.796000000000006</v>
      </c>
    </row>
    <row r="794" spans="1:3" x14ac:dyDescent="0.25">
      <c r="A794" t="s">
        <v>791</v>
      </c>
      <c r="B794">
        <v>40.734000000000002</v>
      </c>
      <c r="C794">
        <v>-73.417000000000002</v>
      </c>
    </row>
    <row r="795" spans="1:3" x14ac:dyDescent="0.25">
      <c r="A795" t="s">
        <v>792</v>
      </c>
      <c r="B795">
        <v>40.844000000000001</v>
      </c>
      <c r="C795">
        <v>-72.632000000000005</v>
      </c>
    </row>
    <row r="796" spans="1:3" x14ac:dyDescent="0.25">
      <c r="A796" t="s">
        <v>793</v>
      </c>
      <c r="B796">
        <v>42.493000000000002</v>
      </c>
      <c r="C796">
        <v>-79.272000000000006</v>
      </c>
    </row>
    <row r="797" spans="1:3" x14ac:dyDescent="0.25">
      <c r="A797" t="s">
        <v>794</v>
      </c>
      <c r="B797">
        <v>39.594000000000001</v>
      </c>
      <c r="C797">
        <v>-84.225999999999999</v>
      </c>
    </row>
    <row r="798" spans="1:3" x14ac:dyDescent="0.25">
      <c r="A798" t="s">
        <v>795</v>
      </c>
      <c r="B798">
        <v>39.991</v>
      </c>
      <c r="C798">
        <v>-82.881</v>
      </c>
    </row>
    <row r="799" spans="1:3" x14ac:dyDescent="0.25">
      <c r="A799" t="s">
        <v>796</v>
      </c>
      <c r="B799">
        <v>39.814</v>
      </c>
      <c r="C799">
        <v>-82.918000000000006</v>
      </c>
    </row>
    <row r="800" spans="1:3" x14ac:dyDescent="0.25">
      <c r="A800" t="s">
        <v>797</v>
      </c>
      <c r="B800">
        <v>39.944000000000003</v>
      </c>
      <c r="C800">
        <v>-81.891999999999996</v>
      </c>
    </row>
    <row r="801" spans="1:3" x14ac:dyDescent="0.25">
      <c r="A801" t="s">
        <v>798</v>
      </c>
      <c r="B801">
        <v>41.563000000000002</v>
      </c>
      <c r="C801">
        <v>-83.475999999999999</v>
      </c>
    </row>
    <row r="802" spans="1:3" x14ac:dyDescent="0.25">
      <c r="A802" t="s">
        <v>799</v>
      </c>
      <c r="B802">
        <v>40.078000000000003</v>
      </c>
      <c r="C802">
        <v>-83.078000000000003</v>
      </c>
    </row>
    <row r="803" spans="1:3" x14ac:dyDescent="0.25">
      <c r="A803" t="s">
        <v>800</v>
      </c>
      <c r="B803">
        <v>39.905999999999999</v>
      </c>
      <c r="C803">
        <v>-84.218999999999994</v>
      </c>
    </row>
    <row r="804" spans="1:3" x14ac:dyDescent="0.25">
      <c r="A804" t="s">
        <v>801</v>
      </c>
      <c r="B804">
        <v>39.756</v>
      </c>
      <c r="C804">
        <v>-82.656999999999996</v>
      </c>
    </row>
    <row r="805" spans="1:3" x14ac:dyDescent="0.25">
      <c r="A805" t="s">
        <v>802</v>
      </c>
      <c r="B805">
        <v>39.832999999999998</v>
      </c>
      <c r="C805">
        <v>-83.832999999999998</v>
      </c>
    </row>
    <row r="806" spans="1:3" x14ac:dyDescent="0.25">
      <c r="A806" t="s">
        <v>803</v>
      </c>
      <c r="B806">
        <v>39.42</v>
      </c>
      <c r="C806">
        <v>-83.822000000000003</v>
      </c>
    </row>
    <row r="807" spans="1:3" x14ac:dyDescent="0.25">
      <c r="A807" t="s">
        <v>804</v>
      </c>
      <c r="B807">
        <v>39.103000000000002</v>
      </c>
      <c r="C807">
        <v>-84.418999999999997</v>
      </c>
    </row>
    <row r="808" spans="1:3" x14ac:dyDescent="0.25">
      <c r="A808" t="s">
        <v>805</v>
      </c>
      <c r="B808">
        <v>40.707999999999998</v>
      </c>
      <c r="C808">
        <v>-84.027000000000001</v>
      </c>
    </row>
    <row r="809" spans="1:3" x14ac:dyDescent="0.25">
      <c r="A809" t="s">
        <v>806</v>
      </c>
      <c r="B809">
        <v>41.037999999999997</v>
      </c>
      <c r="C809">
        <v>-81.463999999999999</v>
      </c>
    </row>
    <row r="810" spans="1:3" x14ac:dyDescent="0.25">
      <c r="A810" t="s">
        <v>807</v>
      </c>
      <c r="B810">
        <v>40.616</v>
      </c>
      <c r="C810">
        <v>-83.063999999999993</v>
      </c>
    </row>
    <row r="811" spans="1:3" x14ac:dyDescent="0.25">
      <c r="A811" t="s">
        <v>808</v>
      </c>
      <c r="B811">
        <v>40.917999999999999</v>
      </c>
      <c r="C811">
        <v>-81.442999999999998</v>
      </c>
    </row>
    <row r="812" spans="1:3" x14ac:dyDescent="0.25">
      <c r="A812" t="s">
        <v>809</v>
      </c>
      <c r="B812">
        <v>41.179000000000002</v>
      </c>
      <c r="C812">
        <v>-82.179000000000002</v>
      </c>
    </row>
    <row r="813" spans="1:3" x14ac:dyDescent="0.25">
      <c r="A813" t="s">
        <v>810</v>
      </c>
      <c r="B813">
        <v>40.875</v>
      </c>
      <c r="C813">
        <v>-81.887</v>
      </c>
    </row>
    <row r="814" spans="1:3" x14ac:dyDescent="0.25">
      <c r="A814" t="s">
        <v>811</v>
      </c>
      <c r="B814">
        <v>39.363999999999997</v>
      </c>
      <c r="C814">
        <v>-84.525000000000006</v>
      </c>
    </row>
    <row r="815" spans="1:3" x14ac:dyDescent="0.25">
      <c r="A815" t="s">
        <v>812</v>
      </c>
      <c r="B815">
        <v>40.47</v>
      </c>
      <c r="C815">
        <v>-81.42</v>
      </c>
    </row>
    <row r="816" spans="1:3" x14ac:dyDescent="0.25">
      <c r="A816" t="s">
        <v>813</v>
      </c>
      <c r="B816">
        <v>40.023000000000003</v>
      </c>
      <c r="C816">
        <v>-82.462999999999994</v>
      </c>
    </row>
    <row r="817" spans="1:3" x14ac:dyDescent="0.25">
      <c r="A817" t="s">
        <v>814</v>
      </c>
      <c r="B817">
        <v>41.405000000000001</v>
      </c>
      <c r="C817">
        <v>-81.852999999999994</v>
      </c>
    </row>
    <row r="818" spans="1:3" x14ac:dyDescent="0.25">
      <c r="A818" t="s">
        <v>815</v>
      </c>
      <c r="B818">
        <v>41.683</v>
      </c>
      <c r="C818">
        <v>-81.382999999999996</v>
      </c>
    </row>
    <row r="819" spans="1:3" x14ac:dyDescent="0.25">
      <c r="A819" t="s">
        <v>816</v>
      </c>
      <c r="B819">
        <v>41.518000000000001</v>
      </c>
      <c r="C819">
        <v>-81.683999999999997</v>
      </c>
    </row>
    <row r="820" spans="1:3" x14ac:dyDescent="0.25">
      <c r="A820" t="s">
        <v>817</v>
      </c>
      <c r="B820">
        <v>40.82</v>
      </c>
      <c r="C820">
        <v>-82.518000000000001</v>
      </c>
    </row>
    <row r="821" spans="1:3" x14ac:dyDescent="0.25">
      <c r="A821" t="s">
        <v>818</v>
      </c>
      <c r="B821">
        <v>41.564999999999998</v>
      </c>
      <c r="C821">
        <v>-81.486000000000004</v>
      </c>
    </row>
    <row r="822" spans="1:3" x14ac:dyDescent="0.25">
      <c r="A822" t="s">
        <v>819</v>
      </c>
      <c r="B822">
        <v>41.253999999999998</v>
      </c>
      <c r="C822">
        <v>-80.674000000000007</v>
      </c>
    </row>
    <row r="823" spans="1:3" x14ac:dyDescent="0.25">
      <c r="A823" t="s">
        <v>820</v>
      </c>
      <c r="B823">
        <v>41.338000000000001</v>
      </c>
      <c r="C823">
        <v>-84.429000000000002</v>
      </c>
    </row>
    <row r="824" spans="1:3" x14ac:dyDescent="0.25">
      <c r="A824" t="s">
        <v>821</v>
      </c>
      <c r="B824">
        <v>41.777999999999999</v>
      </c>
      <c r="C824">
        <v>-80.695999999999998</v>
      </c>
    </row>
    <row r="825" spans="1:3" x14ac:dyDescent="0.25">
      <c r="A825" t="s">
        <v>822</v>
      </c>
      <c r="B825">
        <v>41.588999999999999</v>
      </c>
      <c r="C825">
        <v>-83.801000000000002</v>
      </c>
    </row>
    <row r="826" spans="1:3" x14ac:dyDescent="0.25">
      <c r="A826" t="s">
        <v>823</v>
      </c>
      <c r="B826">
        <v>41.014000000000003</v>
      </c>
      <c r="C826">
        <v>-83.668999999999997</v>
      </c>
    </row>
    <row r="827" spans="1:3" x14ac:dyDescent="0.25">
      <c r="A827" t="s">
        <v>824</v>
      </c>
      <c r="B827">
        <v>39.826000000000001</v>
      </c>
      <c r="C827">
        <v>-84.048000000000002</v>
      </c>
    </row>
    <row r="828" spans="1:3" x14ac:dyDescent="0.25">
      <c r="A828" t="s">
        <v>825</v>
      </c>
      <c r="B828">
        <v>28.545000000000002</v>
      </c>
      <c r="C828">
        <v>-81.332999999999998</v>
      </c>
    </row>
    <row r="829" spans="1:3" x14ac:dyDescent="0.25">
      <c r="A829" t="s">
        <v>826</v>
      </c>
      <c r="B829">
        <v>36.682000000000002</v>
      </c>
      <c r="C829">
        <v>-101.505</v>
      </c>
    </row>
    <row r="830" spans="1:3" x14ac:dyDescent="0.25">
      <c r="A830" t="s">
        <v>827</v>
      </c>
      <c r="B830">
        <v>34.658000000000001</v>
      </c>
      <c r="C830">
        <v>-99.266999999999996</v>
      </c>
    </row>
    <row r="831" spans="1:3" x14ac:dyDescent="0.25">
      <c r="A831" t="s">
        <v>828</v>
      </c>
      <c r="B831">
        <v>35.008000000000003</v>
      </c>
      <c r="C831">
        <v>-99.051000000000002</v>
      </c>
    </row>
    <row r="832" spans="1:3" x14ac:dyDescent="0.25">
      <c r="A832" t="s">
        <v>829</v>
      </c>
      <c r="B832">
        <v>35.340000000000003</v>
      </c>
      <c r="C832">
        <v>-99.2</v>
      </c>
    </row>
    <row r="833" spans="1:3" x14ac:dyDescent="0.25">
      <c r="A833" t="s">
        <v>830</v>
      </c>
      <c r="B833">
        <v>36.296999999999997</v>
      </c>
      <c r="C833">
        <v>-99.775000000000006</v>
      </c>
    </row>
    <row r="834" spans="1:3" x14ac:dyDescent="0.25">
      <c r="A834" t="s">
        <v>831</v>
      </c>
      <c r="B834">
        <v>34.351999999999997</v>
      </c>
      <c r="C834">
        <v>-98.983999999999995</v>
      </c>
    </row>
    <row r="835" spans="1:3" x14ac:dyDescent="0.25">
      <c r="A835" t="s">
        <v>832</v>
      </c>
      <c r="B835">
        <v>35.389000000000003</v>
      </c>
      <c r="C835">
        <v>-97.6</v>
      </c>
    </row>
    <row r="836" spans="1:3" x14ac:dyDescent="0.25">
      <c r="A836" t="s">
        <v>833</v>
      </c>
      <c r="B836">
        <v>36.338999999999999</v>
      </c>
      <c r="C836">
        <v>-97.994</v>
      </c>
    </row>
    <row r="837" spans="1:3" x14ac:dyDescent="0.25">
      <c r="A837" t="s">
        <v>834</v>
      </c>
      <c r="B837">
        <v>35.85</v>
      </c>
      <c r="C837">
        <v>-97.415999999999997</v>
      </c>
    </row>
    <row r="838" spans="1:3" x14ac:dyDescent="0.25">
      <c r="A838" t="s">
        <v>835</v>
      </c>
      <c r="B838">
        <v>35.414999999999999</v>
      </c>
      <c r="C838">
        <v>-97.385999999999996</v>
      </c>
    </row>
    <row r="839" spans="1:3" x14ac:dyDescent="0.25">
      <c r="A839" t="s">
        <v>836</v>
      </c>
      <c r="B839">
        <v>35.533999999999999</v>
      </c>
      <c r="C839">
        <v>-97.647000000000006</v>
      </c>
    </row>
    <row r="840" spans="1:3" x14ac:dyDescent="0.25">
      <c r="A840" t="s">
        <v>837</v>
      </c>
      <c r="B840">
        <v>36.159999999999997</v>
      </c>
      <c r="C840">
        <v>-97.085999999999999</v>
      </c>
    </row>
    <row r="841" spans="1:3" x14ac:dyDescent="0.25">
      <c r="A841" t="s">
        <v>838</v>
      </c>
      <c r="B841">
        <v>36.731000000000002</v>
      </c>
      <c r="C841">
        <v>-97.1</v>
      </c>
    </row>
    <row r="842" spans="1:3" x14ac:dyDescent="0.25">
      <c r="A842" t="s">
        <v>839</v>
      </c>
      <c r="B842">
        <v>34.65</v>
      </c>
      <c r="C842">
        <v>-98.402000000000001</v>
      </c>
    </row>
    <row r="843" spans="1:3" x14ac:dyDescent="0.25">
      <c r="A843" t="s">
        <v>840</v>
      </c>
      <c r="B843">
        <v>34.210999999999999</v>
      </c>
      <c r="C843">
        <v>-97.167000000000002</v>
      </c>
    </row>
    <row r="844" spans="1:3" x14ac:dyDescent="0.25">
      <c r="A844" t="s">
        <v>841</v>
      </c>
      <c r="B844">
        <v>35.656999999999996</v>
      </c>
      <c r="C844">
        <v>-95.361000000000004</v>
      </c>
    </row>
    <row r="845" spans="1:3" x14ac:dyDescent="0.25">
      <c r="A845" t="s">
        <v>842</v>
      </c>
      <c r="B845">
        <v>36.198</v>
      </c>
      <c r="C845">
        <v>-95.885999999999996</v>
      </c>
    </row>
    <row r="846" spans="1:3" x14ac:dyDescent="0.25">
      <c r="A846" t="s">
        <v>843</v>
      </c>
      <c r="B846">
        <v>36.039000000000001</v>
      </c>
      <c r="C846">
        <v>-95.983999999999995</v>
      </c>
    </row>
    <row r="847" spans="1:3" x14ac:dyDescent="0.25">
      <c r="A847" t="s">
        <v>844</v>
      </c>
      <c r="B847">
        <v>36.762</v>
      </c>
      <c r="C847">
        <v>-96.010999999999996</v>
      </c>
    </row>
    <row r="848" spans="1:3" x14ac:dyDescent="0.25">
      <c r="A848" t="s">
        <v>845</v>
      </c>
      <c r="B848">
        <v>34.899000000000001</v>
      </c>
      <c r="C848">
        <v>-95.783000000000001</v>
      </c>
    </row>
    <row r="849" spans="1:3" x14ac:dyDescent="0.25">
      <c r="A849" t="s">
        <v>846</v>
      </c>
      <c r="B849">
        <v>34.567999999999998</v>
      </c>
      <c r="C849">
        <v>-98.415999999999997</v>
      </c>
    </row>
    <row r="850" spans="1:3" x14ac:dyDescent="0.25">
      <c r="A850" t="s">
        <v>847</v>
      </c>
      <c r="B850">
        <v>36.436999999999998</v>
      </c>
      <c r="C850">
        <v>-99.516999999999996</v>
      </c>
    </row>
    <row r="851" spans="1:3" x14ac:dyDescent="0.25">
      <c r="A851" t="s">
        <v>848</v>
      </c>
      <c r="B851">
        <v>42.073999999999998</v>
      </c>
      <c r="C851">
        <v>-124.29</v>
      </c>
    </row>
    <row r="852" spans="1:3" x14ac:dyDescent="0.25">
      <c r="A852" t="s">
        <v>849</v>
      </c>
      <c r="B852">
        <v>42.146999999999998</v>
      </c>
      <c r="C852">
        <v>-121.724</v>
      </c>
    </row>
    <row r="853" spans="1:3" x14ac:dyDescent="0.25">
      <c r="A853" t="s">
        <v>850</v>
      </c>
      <c r="B853">
        <v>42.389000000000003</v>
      </c>
      <c r="C853">
        <v>-122.871</v>
      </c>
    </row>
    <row r="854" spans="1:3" x14ac:dyDescent="0.25">
      <c r="A854" t="s">
        <v>851</v>
      </c>
      <c r="B854">
        <v>42.616999999999997</v>
      </c>
      <c r="C854">
        <v>-123.381</v>
      </c>
    </row>
    <row r="855" spans="1:3" x14ac:dyDescent="0.25">
      <c r="A855" t="s">
        <v>852</v>
      </c>
      <c r="B855">
        <v>43.591999999999999</v>
      </c>
      <c r="C855">
        <v>-118.95399999999999</v>
      </c>
    </row>
    <row r="856" spans="1:3" x14ac:dyDescent="0.25">
      <c r="A856" t="s">
        <v>853</v>
      </c>
      <c r="B856">
        <v>44.253999999999998</v>
      </c>
      <c r="C856">
        <v>-121.15</v>
      </c>
    </row>
    <row r="857" spans="1:3" x14ac:dyDescent="0.25">
      <c r="A857" t="s">
        <v>854</v>
      </c>
      <c r="B857">
        <v>45.773000000000003</v>
      </c>
      <c r="C857">
        <v>-122.861</v>
      </c>
    </row>
    <row r="858" spans="1:3" x14ac:dyDescent="0.25">
      <c r="A858" t="s">
        <v>855</v>
      </c>
      <c r="B858">
        <v>44.021000000000001</v>
      </c>
      <c r="C858">
        <v>-117.01300000000001</v>
      </c>
    </row>
    <row r="859" spans="1:3" x14ac:dyDescent="0.25">
      <c r="A859" t="s">
        <v>856</v>
      </c>
      <c r="B859">
        <v>42.9</v>
      </c>
      <c r="C859">
        <v>-117.65</v>
      </c>
    </row>
    <row r="860" spans="1:3" x14ac:dyDescent="0.25">
      <c r="A860" t="s">
        <v>857</v>
      </c>
      <c r="B860">
        <v>42.591000000000001</v>
      </c>
      <c r="C860">
        <v>-117.864</v>
      </c>
    </row>
    <row r="861" spans="1:3" x14ac:dyDescent="0.25">
      <c r="A861" t="s">
        <v>858</v>
      </c>
      <c r="B861">
        <v>45.698</v>
      </c>
      <c r="C861">
        <v>-118.834</v>
      </c>
    </row>
    <row r="862" spans="1:3" x14ac:dyDescent="0.25">
      <c r="A862" t="s">
        <v>859</v>
      </c>
      <c r="B862">
        <v>45.195</v>
      </c>
      <c r="C862">
        <v>-123.134</v>
      </c>
    </row>
    <row r="863" spans="1:3" x14ac:dyDescent="0.25">
      <c r="A863" t="s">
        <v>860</v>
      </c>
      <c r="B863">
        <v>45.826000000000001</v>
      </c>
      <c r="C863">
        <v>-119.261</v>
      </c>
    </row>
    <row r="864" spans="1:3" x14ac:dyDescent="0.25">
      <c r="A864" t="s">
        <v>861</v>
      </c>
      <c r="B864">
        <v>45.511000000000003</v>
      </c>
      <c r="C864">
        <v>-118.425</v>
      </c>
    </row>
    <row r="865" spans="1:3" x14ac:dyDescent="0.25">
      <c r="A865" t="s">
        <v>862</v>
      </c>
      <c r="B865">
        <v>44.838000000000001</v>
      </c>
      <c r="C865">
        <v>-117.81</v>
      </c>
    </row>
    <row r="866" spans="1:3" x14ac:dyDescent="0.25">
      <c r="A866" t="s">
        <v>863</v>
      </c>
      <c r="B866">
        <v>43.238999999999997</v>
      </c>
      <c r="C866">
        <v>-123.355</v>
      </c>
    </row>
    <row r="867" spans="1:3" x14ac:dyDescent="0.25">
      <c r="A867" t="s">
        <v>864</v>
      </c>
      <c r="B867">
        <v>43.417000000000002</v>
      </c>
      <c r="C867">
        <v>-124.25</v>
      </c>
    </row>
    <row r="868" spans="1:3" x14ac:dyDescent="0.25">
      <c r="A868" t="s">
        <v>865</v>
      </c>
      <c r="B868">
        <v>44.133000000000003</v>
      </c>
      <c r="C868">
        <v>-123.214</v>
      </c>
    </row>
    <row r="869" spans="1:3" x14ac:dyDescent="0.25">
      <c r="A869" t="s">
        <v>866</v>
      </c>
      <c r="B869">
        <v>44.908000000000001</v>
      </c>
      <c r="C869">
        <v>-122.995</v>
      </c>
    </row>
    <row r="870" spans="1:3" x14ac:dyDescent="0.25">
      <c r="A870" t="s">
        <v>867</v>
      </c>
      <c r="B870">
        <v>44.575000000000003</v>
      </c>
      <c r="C870">
        <v>-124.051</v>
      </c>
    </row>
    <row r="871" spans="1:3" x14ac:dyDescent="0.25">
      <c r="A871" t="s">
        <v>868</v>
      </c>
      <c r="B871">
        <v>45.249000000000002</v>
      </c>
      <c r="C871">
        <v>-122.76900000000001</v>
      </c>
    </row>
    <row r="872" spans="1:3" x14ac:dyDescent="0.25">
      <c r="A872" t="s">
        <v>869</v>
      </c>
      <c r="B872">
        <v>45.591000000000001</v>
      </c>
      <c r="C872">
        <v>-122.6</v>
      </c>
    </row>
    <row r="873" spans="1:3" x14ac:dyDescent="0.25">
      <c r="A873" t="s">
        <v>870</v>
      </c>
      <c r="B873">
        <v>45.548999999999999</v>
      </c>
      <c r="C873">
        <v>-122.4</v>
      </c>
    </row>
    <row r="874" spans="1:3" x14ac:dyDescent="0.25">
      <c r="A874" t="s">
        <v>871</v>
      </c>
      <c r="B874">
        <v>45.540999999999997</v>
      </c>
      <c r="C874">
        <v>-122.949</v>
      </c>
    </row>
    <row r="875" spans="1:3" x14ac:dyDescent="0.25">
      <c r="A875" t="s">
        <v>872</v>
      </c>
      <c r="B875">
        <v>45.619</v>
      </c>
      <c r="C875">
        <v>-121.167</v>
      </c>
    </row>
    <row r="876" spans="1:3" x14ac:dyDescent="0.25">
      <c r="A876" t="s">
        <v>873</v>
      </c>
      <c r="B876">
        <v>46.158000000000001</v>
      </c>
      <c r="C876">
        <v>-123.878</v>
      </c>
    </row>
    <row r="877" spans="1:3" x14ac:dyDescent="0.25">
      <c r="A877" t="s">
        <v>874</v>
      </c>
      <c r="B877">
        <v>39.734000000000002</v>
      </c>
      <c r="C877">
        <v>-77.430000000000007</v>
      </c>
    </row>
    <row r="878" spans="1:3" x14ac:dyDescent="0.25">
      <c r="A878" t="s">
        <v>875</v>
      </c>
      <c r="B878">
        <v>39.868000000000002</v>
      </c>
      <c r="C878">
        <v>-75.230999999999995</v>
      </c>
    </row>
    <row r="879" spans="1:3" x14ac:dyDescent="0.25">
      <c r="A879" t="s">
        <v>876</v>
      </c>
      <c r="B879">
        <v>40.082000000000001</v>
      </c>
      <c r="C879">
        <v>-75.010999999999996</v>
      </c>
    </row>
    <row r="880" spans="1:3" x14ac:dyDescent="0.25">
      <c r="A880" t="s">
        <v>877</v>
      </c>
      <c r="B880">
        <v>40.200000000000003</v>
      </c>
      <c r="C880">
        <v>-75.150000000000006</v>
      </c>
    </row>
    <row r="881" spans="1:3" x14ac:dyDescent="0.25">
      <c r="A881" t="s">
        <v>878</v>
      </c>
      <c r="B881">
        <v>40.372999999999998</v>
      </c>
      <c r="C881">
        <v>-75.959000000000003</v>
      </c>
    </row>
    <row r="882" spans="1:3" x14ac:dyDescent="0.25">
      <c r="A882" t="s">
        <v>879</v>
      </c>
      <c r="B882">
        <v>40.372999999999998</v>
      </c>
      <c r="C882">
        <v>-75.959000000000003</v>
      </c>
    </row>
    <row r="883" spans="1:3" x14ac:dyDescent="0.25">
      <c r="A883" t="s">
        <v>880</v>
      </c>
      <c r="B883">
        <v>41.625999999999998</v>
      </c>
      <c r="C883">
        <v>-80.215000000000003</v>
      </c>
    </row>
    <row r="884" spans="1:3" x14ac:dyDescent="0.25">
      <c r="A884" t="s">
        <v>881</v>
      </c>
      <c r="B884">
        <v>40.820999999999998</v>
      </c>
      <c r="C884">
        <v>-76.864000000000004</v>
      </c>
    </row>
    <row r="885" spans="1:3" x14ac:dyDescent="0.25">
      <c r="A885" t="s">
        <v>882</v>
      </c>
      <c r="B885">
        <v>40.238</v>
      </c>
      <c r="C885">
        <v>-75.557000000000002</v>
      </c>
    </row>
    <row r="886" spans="1:3" x14ac:dyDescent="0.25">
      <c r="A886" t="s">
        <v>883</v>
      </c>
      <c r="B886">
        <v>40.216999999999999</v>
      </c>
      <c r="C886">
        <v>-76.850999999999999</v>
      </c>
    </row>
    <row r="887" spans="1:3" x14ac:dyDescent="0.25">
      <c r="A887" t="s">
        <v>884</v>
      </c>
      <c r="B887">
        <v>40.216999999999999</v>
      </c>
      <c r="C887">
        <v>-76.850999999999999</v>
      </c>
    </row>
    <row r="888" spans="1:3" x14ac:dyDescent="0.25">
      <c r="A888" t="s">
        <v>885</v>
      </c>
      <c r="B888">
        <v>40.33</v>
      </c>
      <c r="C888">
        <v>-75.123000000000005</v>
      </c>
    </row>
    <row r="889" spans="1:3" x14ac:dyDescent="0.25">
      <c r="A889" t="s">
        <v>886</v>
      </c>
      <c r="B889">
        <v>39.917999999999999</v>
      </c>
      <c r="C889">
        <v>-76.873999999999995</v>
      </c>
    </row>
    <row r="890" spans="1:3" x14ac:dyDescent="0.25">
      <c r="A890" t="s">
        <v>887</v>
      </c>
      <c r="B890">
        <v>40.194000000000003</v>
      </c>
      <c r="C890">
        <v>-76.763000000000005</v>
      </c>
    </row>
    <row r="891" spans="1:3" x14ac:dyDescent="0.25">
      <c r="A891" t="s">
        <v>888</v>
      </c>
      <c r="B891">
        <v>40.216999999999999</v>
      </c>
      <c r="C891">
        <v>-76.850999999999999</v>
      </c>
    </row>
    <row r="892" spans="1:3" x14ac:dyDescent="0.25">
      <c r="A892" t="s">
        <v>889</v>
      </c>
      <c r="B892">
        <v>41.046999999999997</v>
      </c>
      <c r="C892">
        <v>-78.412000000000006</v>
      </c>
    </row>
    <row r="893" spans="1:3" x14ac:dyDescent="0.25">
      <c r="A893" t="s">
        <v>890</v>
      </c>
      <c r="B893">
        <v>40.884</v>
      </c>
      <c r="C893">
        <v>-78.087000000000003</v>
      </c>
    </row>
    <row r="894" spans="1:3" x14ac:dyDescent="0.25">
      <c r="A894" t="s">
        <v>891</v>
      </c>
      <c r="B894">
        <v>41.177999999999997</v>
      </c>
      <c r="C894">
        <v>-78.899000000000001</v>
      </c>
    </row>
    <row r="895" spans="1:3" x14ac:dyDescent="0.25">
      <c r="A895" t="s">
        <v>892</v>
      </c>
      <c r="B895">
        <v>40.299999999999997</v>
      </c>
      <c r="C895">
        <v>-78.316999999999993</v>
      </c>
    </row>
    <row r="896" spans="1:3" x14ac:dyDescent="0.25">
      <c r="A896" t="s">
        <v>893</v>
      </c>
      <c r="B896">
        <v>40.301000000000002</v>
      </c>
      <c r="C896">
        <v>-78.834000000000003</v>
      </c>
    </row>
    <row r="897" spans="1:3" x14ac:dyDescent="0.25">
      <c r="A897" t="s">
        <v>894</v>
      </c>
      <c r="B897">
        <v>41.338999999999999</v>
      </c>
      <c r="C897">
        <v>-75.727000000000004</v>
      </c>
    </row>
    <row r="898" spans="1:3" x14ac:dyDescent="0.25">
      <c r="A898" t="s">
        <v>895</v>
      </c>
      <c r="B898">
        <v>41.243000000000002</v>
      </c>
      <c r="C898">
        <v>-76.921999999999997</v>
      </c>
    </row>
    <row r="899" spans="1:3" x14ac:dyDescent="0.25">
      <c r="A899" t="s">
        <v>896</v>
      </c>
      <c r="B899">
        <v>40.435000000000002</v>
      </c>
      <c r="C899">
        <v>-76.569000000000003</v>
      </c>
    </row>
    <row r="900" spans="1:3" x14ac:dyDescent="0.25">
      <c r="A900" t="s">
        <v>897</v>
      </c>
      <c r="B900">
        <v>40.651000000000003</v>
      </c>
      <c r="C900">
        <v>-75.448999999999998</v>
      </c>
    </row>
    <row r="901" spans="1:3" x14ac:dyDescent="0.25">
      <c r="A901" t="s">
        <v>898</v>
      </c>
      <c r="B901">
        <v>40.500999999999998</v>
      </c>
      <c r="C901">
        <v>-80.230999999999995</v>
      </c>
    </row>
    <row r="902" spans="1:3" x14ac:dyDescent="0.25">
      <c r="A902" t="s">
        <v>899</v>
      </c>
      <c r="B902">
        <v>40.773000000000003</v>
      </c>
      <c r="C902">
        <v>-80.391000000000005</v>
      </c>
    </row>
    <row r="903" spans="1:3" x14ac:dyDescent="0.25">
      <c r="A903" t="s">
        <v>900</v>
      </c>
      <c r="B903">
        <v>40.354999999999997</v>
      </c>
      <c r="C903">
        <v>-79.921999999999997</v>
      </c>
    </row>
    <row r="904" spans="1:3" x14ac:dyDescent="0.25">
      <c r="A904" t="s">
        <v>901</v>
      </c>
      <c r="B904">
        <v>40.276000000000003</v>
      </c>
      <c r="C904">
        <v>-79.400000000000006</v>
      </c>
    </row>
    <row r="905" spans="1:3" x14ac:dyDescent="0.25">
      <c r="A905" t="s">
        <v>902</v>
      </c>
      <c r="B905">
        <v>42.08</v>
      </c>
      <c r="C905">
        <v>-80.183000000000007</v>
      </c>
    </row>
    <row r="906" spans="1:3" x14ac:dyDescent="0.25">
      <c r="A906" t="s">
        <v>903</v>
      </c>
      <c r="B906">
        <v>41.802999999999997</v>
      </c>
      <c r="C906">
        <v>-78.64</v>
      </c>
    </row>
    <row r="907" spans="1:3" x14ac:dyDescent="0.25">
      <c r="A907" t="s">
        <v>904</v>
      </c>
      <c r="B907">
        <v>41.139000000000003</v>
      </c>
      <c r="C907">
        <v>-75.379000000000005</v>
      </c>
    </row>
    <row r="908" spans="1:3" x14ac:dyDescent="0.25">
      <c r="A908" t="s">
        <v>905</v>
      </c>
      <c r="B908">
        <v>41.35</v>
      </c>
      <c r="C908">
        <v>-71.799000000000007</v>
      </c>
    </row>
    <row r="909" spans="1:3" x14ac:dyDescent="0.25">
      <c r="A909" t="s">
        <v>906</v>
      </c>
      <c r="B909">
        <v>41.722000000000001</v>
      </c>
      <c r="C909">
        <v>-71.433000000000007</v>
      </c>
    </row>
    <row r="910" spans="1:3" x14ac:dyDescent="0.25">
      <c r="A910" t="s">
        <v>907</v>
      </c>
      <c r="B910">
        <v>41.597000000000001</v>
      </c>
      <c r="C910">
        <v>-71.412000000000006</v>
      </c>
    </row>
    <row r="911" spans="1:3" x14ac:dyDescent="0.25">
      <c r="A911" t="s">
        <v>908</v>
      </c>
      <c r="B911">
        <v>41.53</v>
      </c>
      <c r="C911">
        <v>-71.284000000000006</v>
      </c>
    </row>
    <row r="912" spans="1:3" x14ac:dyDescent="0.25">
      <c r="A912" t="s">
        <v>909</v>
      </c>
      <c r="B912">
        <v>32.899000000000001</v>
      </c>
      <c r="C912">
        <v>-80.040999999999997</v>
      </c>
    </row>
    <row r="913" spans="1:3" x14ac:dyDescent="0.25">
      <c r="A913" t="s">
        <v>910</v>
      </c>
      <c r="B913">
        <v>32.482999999999997</v>
      </c>
      <c r="C913">
        <v>-80.716999999999999</v>
      </c>
    </row>
    <row r="914" spans="1:3" x14ac:dyDescent="0.25">
      <c r="A914" t="s">
        <v>911</v>
      </c>
      <c r="B914">
        <v>32.85</v>
      </c>
      <c r="C914">
        <v>-79.933000000000007</v>
      </c>
    </row>
    <row r="915" spans="1:3" x14ac:dyDescent="0.25">
      <c r="A915" t="s">
        <v>912</v>
      </c>
      <c r="B915">
        <v>33.942</v>
      </c>
      <c r="C915">
        <v>-81.117999999999995</v>
      </c>
    </row>
    <row r="916" spans="1:3" x14ac:dyDescent="0.25">
      <c r="A916" t="s">
        <v>913</v>
      </c>
      <c r="B916">
        <v>33.970999999999997</v>
      </c>
      <c r="C916">
        <v>-80.995999999999995</v>
      </c>
    </row>
    <row r="917" spans="1:3" x14ac:dyDescent="0.25">
      <c r="A917" t="s">
        <v>914</v>
      </c>
      <c r="B917">
        <v>33.917000000000002</v>
      </c>
      <c r="C917">
        <v>-80.8</v>
      </c>
    </row>
    <row r="918" spans="1:3" x14ac:dyDescent="0.25">
      <c r="A918" t="s">
        <v>915</v>
      </c>
      <c r="B918">
        <v>34.188000000000002</v>
      </c>
      <c r="C918">
        <v>-79.730999999999995</v>
      </c>
    </row>
    <row r="919" spans="1:3" x14ac:dyDescent="0.25">
      <c r="A919" t="s">
        <v>916</v>
      </c>
      <c r="B919">
        <v>33.462000000000003</v>
      </c>
      <c r="C919">
        <v>-80.858000000000004</v>
      </c>
    </row>
    <row r="920" spans="1:3" x14ac:dyDescent="0.25">
      <c r="A920" t="s">
        <v>917</v>
      </c>
      <c r="B920">
        <v>34.987000000000002</v>
      </c>
      <c r="C920">
        <v>-81.058000000000007</v>
      </c>
    </row>
    <row r="921" spans="1:3" x14ac:dyDescent="0.25">
      <c r="A921" t="s">
        <v>918</v>
      </c>
      <c r="B921">
        <v>34.671999999999997</v>
      </c>
      <c r="C921">
        <v>-82.885999999999996</v>
      </c>
    </row>
    <row r="922" spans="1:3" x14ac:dyDescent="0.25">
      <c r="A922" t="s">
        <v>919</v>
      </c>
      <c r="B922">
        <v>34.845999999999997</v>
      </c>
      <c r="C922">
        <v>-82.346000000000004</v>
      </c>
    </row>
    <row r="923" spans="1:3" x14ac:dyDescent="0.25">
      <c r="A923" t="s">
        <v>920</v>
      </c>
      <c r="B923">
        <v>34.899000000000001</v>
      </c>
      <c r="C923">
        <v>-82.218999999999994</v>
      </c>
    </row>
    <row r="924" spans="1:3" x14ac:dyDescent="0.25">
      <c r="A924" t="s">
        <v>921</v>
      </c>
      <c r="B924">
        <v>34.249000000000002</v>
      </c>
      <c r="C924">
        <v>-82.159000000000006</v>
      </c>
    </row>
    <row r="925" spans="1:3" x14ac:dyDescent="0.25">
      <c r="A925" t="s">
        <v>922</v>
      </c>
      <c r="B925">
        <v>34.494999999999997</v>
      </c>
      <c r="C925">
        <v>-82.709000000000003</v>
      </c>
    </row>
    <row r="926" spans="1:3" x14ac:dyDescent="0.25">
      <c r="A926" t="s">
        <v>923</v>
      </c>
      <c r="B926">
        <v>33.972999999999999</v>
      </c>
      <c r="C926">
        <v>-80.472999999999999</v>
      </c>
    </row>
    <row r="927" spans="1:3" x14ac:dyDescent="0.25">
      <c r="A927" t="s">
        <v>924</v>
      </c>
      <c r="B927">
        <v>33.68</v>
      </c>
      <c r="C927">
        <v>-78.918000000000006</v>
      </c>
    </row>
    <row r="928" spans="1:3" x14ac:dyDescent="0.25">
      <c r="A928" t="s">
        <v>925</v>
      </c>
      <c r="B928">
        <v>33.816000000000003</v>
      </c>
      <c r="C928">
        <v>-78.721000000000004</v>
      </c>
    </row>
    <row r="929" spans="1:3" x14ac:dyDescent="0.25">
      <c r="A929" t="s">
        <v>926</v>
      </c>
      <c r="B929">
        <v>43.576999999999998</v>
      </c>
      <c r="C929">
        <v>-96.754000000000005</v>
      </c>
    </row>
    <row r="930" spans="1:3" x14ac:dyDescent="0.25">
      <c r="A930" t="s">
        <v>927</v>
      </c>
      <c r="B930">
        <v>43.731000000000002</v>
      </c>
      <c r="C930">
        <v>-103.628</v>
      </c>
    </row>
    <row r="931" spans="1:3" x14ac:dyDescent="0.25">
      <c r="A931" t="s">
        <v>928</v>
      </c>
      <c r="B931">
        <v>44.302999999999997</v>
      </c>
      <c r="C931">
        <v>-96.801000000000002</v>
      </c>
    </row>
    <row r="932" spans="1:3" x14ac:dyDescent="0.25">
      <c r="A932" t="s">
        <v>929</v>
      </c>
      <c r="B932">
        <v>44.051000000000002</v>
      </c>
      <c r="C932">
        <v>-101.601</v>
      </c>
    </row>
    <row r="933" spans="1:3" x14ac:dyDescent="0.25">
      <c r="A933" t="s">
        <v>930</v>
      </c>
      <c r="B933">
        <v>43.021000000000001</v>
      </c>
      <c r="C933">
        <v>-102.518</v>
      </c>
    </row>
    <row r="934" spans="1:3" x14ac:dyDescent="0.25">
      <c r="A934" t="s">
        <v>931</v>
      </c>
      <c r="B934">
        <v>43.39</v>
      </c>
      <c r="C934">
        <v>-99.841999999999999</v>
      </c>
    </row>
    <row r="935" spans="1:3" x14ac:dyDescent="0.25">
      <c r="A935" t="s">
        <v>932</v>
      </c>
      <c r="B935">
        <v>45.668999999999997</v>
      </c>
      <c r="C935">
        <v>-96.991</v>
      </c>
    </row>
    <row r="936" spans="1:3" x14ac:dyDescent="0.25">
      <c r="A936" t="s">
        <v>933</v>
      </c>
      <c r="B936">
        <v>42.917000000000002</v>
      </c>
      <c r="C936">
        <v>-97.382999999999996</v>
      </c>
    </row>
    <row r="937" spans="1:3" x14ac:dyDescent="0.25">
      <c r="A937" t="s">
        <v>934</v>
      </c>
      <c r="B937">
        <v>43.767000000000003</v>
      </c>
      <c r="C937">
        <v>-99.317999999999998</v>
      </c>
    </row>
    <row r="938" spans="1:3" x14ac:dyDescent="0.25">
      <c r="A938" t="s">
        <v>935</v>
      </c>
      <c r="B938">
        <v>45.031999999999996</v>
      </c>
      <c r="C938">
        <v>-102.01900000000001</v>
      </c>
    </row>
    <row r="939" spans="1:3" x14ac:dyDescent="0.25">
      <c r="A939" t="s">
        <v>936</v>
      </c>
      <c r="B939">
        <v>44.384999999999998</v>
      </c>
      <c r="C939">
        <v>-98.228999999999999</v>
      </c>
    </row>
    <row r="940" spans="1:3" x14ac:dyDescent="0.25">
      <c r="A940" t="s">
        <v>937</v>
      </c>
      <c r="B940">
        <v>43.777000000000001</v>
      </c>
      <c r="C940">
        <v>-98.037999999999997</v>
      </c>
    </row>
    <row r="941" spans="1:3" x14ac:dyDescent="0.25">
      <c r="A941" t="s">
        <v>938</v>
      </c>
      <c r="B941">
        <v>44.930999999999997</v>
      </c>
      <c r="C941">
        <v>-97.153999999999996</v>
      </c>
    </row>
    <row r="942" spans="1:3" x14ac:dyDescent="0.25">
      <c r="A942" t="s">
        <v>939</v>
      </c>
      <c r="B942">
        <v>46.289000000000001</v>
      </c>
      <c r="C942">
        <v>-96.150999999999996</v>
      </c>
    </row>
    <row r="943" spans="1:3" x14ac:dyDescent="0.25">
      <c r="A943" t="s">
        <v>940</v>
      </c>
      <c r="B943">
        <v>45.45</v>
      </c>
      <c r="C943">
        <v>-98.421000000000006</v>
      </c>
    </row>
    <row r="944" spans="1:3" x14ac:dyDescent="0.25">
      <c r="A944" t="s">
        <v>941</v>
      </c>
      <c r="B944">
        <v>44.732999999999997</v>
      </c>
      <c r="C944">
        <v>-103.867</v>
      </c>
    </row>
    <row r="945" spans="1:3" x14ac:dyDescent="0.25">
      <c r="A945" t="s">
        <v>942</v>
      </c>
      <c r="B945">
        <v>44.045999999999999</v>
      </c>
      <c r="C945">
        <v>-103.054</v>
      </c>
    </row>
    <row r="946" spans="1:3" x14ac:dyDescent="0.25">
      <c r="A946" t="s">
        <v>943</v>
      </c>
      <c r="B946">
        <v>44.145000000000003</v>
      </c>
      <c r="C946">
        <v>-103.104</v>
      </c>
    </row>
    <row r="947" spans="1:3" x14ac:dyDescent="0.25">
      <c r="A947" t="s">
        <v>944</v>
      </c>
      <c r="B947">
        <v>45.603999999999999</v>
      </c>
      <c r="C947">
        <v>-103.54600000000001</v>
      </c>
    </row>
    <row r="948" spans="1:3" x14ac:dyDescent="0.25">
      <c r="A948" t="s">
        <v>945</v>
      </c>
      <c r="B948">
        <v>45.545999999999999</v>
      </c>
      <c r="C948">
        <v>-100.408</v>
      </c>
    </row>
    <row r="949" spans="1:3" x14ac:dyDescent="0.25">
      <c r="A949" t="s">
        <v>946</v>
      </c>
      <c r="B949">
        <v>44.383000000000003</v>
      </c>
      <c r="C949">
        <v>-100.286</v>
      </c>
    </row>
    <row r="950" spans="1:3" x14ac:dyDescent="0.25">
      <c r="A950" t="s">
        <v>947</v>
      </c>
      <c r="B950">
        <v>45.933</v>
      </c>
      <c r="C950">
        <v>-102.167</v>
      </c>
    </row>
    <row r="951" spans="1:3" x14ac:dyDescent="0.25">
      <c r="A951" t="s">
        <v>948</v>
      </c>
      <c r="B951">
        <v>36.622</v>
      </c>
      <c r="C951">
        <v>-87.415000000000006</v>
      </c>
    </row>
    <row r="952" spans="1:3" x14ac:dyDescent="0.25">
      <c r="A952" t="s">
        <v>949</v>
      </c>
      <c r="B952">
        <v>36.479999999999997</v>
      </c>
      <c r="C952">
        <v>-82.399000000000001</v>
      </c>
    </row>
    <row r="953" spans="1:3" x14ac:dyDescent="0.25">
      <c r="A953" t="s">
        <v>950</v>
      </c>
      <c r="B953">
        <v>36.479999999999997</v>
      </c>
      <c r="C953">
        <v>-82.399000000000001</v>
      </c>
    </row>
    <row r="954" spans="1:3" x14ac:dyDescent="0.25">
      <c r="A954" t="s">
        <v>951</v>
      </c>
      <c r="B954">
        <v>35.033000000000001</v>
      </c>
      <c r="C954">
        <v>-85.2</v>
      </c>
    </row>
    <row r="955" spans="1:3" x14ac:dyDescent="0.25">
      <c r="A955" t="s">
        <v>952</v>
      </c>
      <c r="B955">
        <v>36.023000000000003</v>
      </c>
      <c r="C955">
        <v>-84.233000000000004</v>
      </c>
    </row>
    <row r="956" spans="1:3" x14ac:dyDescent="0.25">
      <c r="A956" t="s">
        <v>953</v>
      </c>
      <c r="B956">
        <v>35.817999999999998</v>
      </c>
      <c r="C956">
        <v>-83.986000000000004</v>
      </c>
    </row>
    <row r="957" spans="1:3" x14ac:dyDescent="0.25">
      <c r="A957" t="s">
        <v>954</v>
      </c>
      <c r="B957">
        <v>35.951000000000001</v>
      </c>
      <c r="C957">
        <v>-85.084999999999994</v>
      </c>
    </row>
    <row r="958" spans="1:3" x14ac:dyDescent="0.25">
      <c r="A958" t="s">
        <v>955</v>
      </c>
      <c r="B958">
        <v>36.119</v>
      </c>
      <c r="C958">
        <v>-86.688999999999993</v>
      </c>
    </row>
    <row r="959" spans="1:3" x14ac:dyDescent="0.25">
      <c r="A959" t="s">
        <v>956</v>
      </c>
      <c r="B959">
        <v>36.009</v>
      </c>
      <c r="C959">
        <v>-86.52</v>
      </c>
    </row>
    <row r="960" spans="1:3" x14ac:dyDescent="0.25">
      <c r="A960" t="s">
        <v>957</v>
      </c>
      <c r="B960">
        <v>35.061</v>
      </c>
      <c r="C960">
        <v>-89.984999999999999</v>
      </c>
    </row>
    <row r="961" spans="1:3" x14ac:dyDescent="0.25">
      <c r="A961" t="s">
        <v>958</v>
      </c>
      <c r="B961">
        <v>35.356999999999999</v>
      </c>
      <c r="C961">
        <v>-89.87</v>
      </c>
    </row>
    <row r="962" spans="1:3" x14ac:dyDescent="0.25">
      <c r="A962" t="s">
        <v>959</v>
      </c>
      <c r="B962">
        <v>35.593000000000004</v>
      </c>
      <c r="C962">
        <v>-88.917000000000002</v>
      </c>
    </row>
    <row r="963" spans="1:3" x14ac:dyDescent="0.25">
      <c r="A963" t="s">
        <v>960</v>
      </c>
      <c r="B963">
        <v>36.018999999999998</v>
      </c>
      <c r="C963">
        <v>-89.317999999999998</v>
      </c>
    </row>
    <row r="964" spans="1:3" x14ac:dyDescent="0.25">
      <c r="A964" t="s">
        <v>961</v>
      </c>
      <c r="B964">
        <v>32.420999999999999</v>
      </c>
      <c r="C964">
        <v>-99.855000000000004</v>
      </c>
    </row>
    <row r="965" spans="1:3" x14ac:dyDescent="0.25">
      <c r="A965" t="s">
        <v>962</v>
      </c>
      <c r="B965">
        <v>29.951000000000001</v>
      </c>
      <c r="C965">
        <v>-94.021000000000001</v>
      </c>
    </row>
    <row r="966" spans="1:3" x14ac:dyDescent="0.25">
      <c r="A966" t="s">
        <v>963</v>
      </c>
      <c r="B966">
        <v>29.709</v>
      </c>
      <c r="C966">
        <v>-98.045000000000002</v>
      </c>
    </row>
    <row r="967" spans="1:3" x14ac:dyDescent="0.25">
      <c r="A967" t="s">
        <v>964</v>
      </c>
      <c r="B967">
        <v>29.265000000000001</v>
      </c>
      <c r="C967">
        <v>-94.86</v>
      </c>
    </row>
    <row r="968" spans="1:3" x14ac:dyDescent="0.25">
      <c r="A968" t="s">
        <v>965</v>
      </c>
      <c r="B968">
        <v>29.265000000000001</v>
      </c>
      <c r="C968">
        <v>-94.86</v>
      </c>
    </row>
    <row r="969" spans="1:3" x14ac:dyDescent="0.25">
      <c r="A969" t="s">
        <v>966</v>
      </c>
      <c r="B969">
        <v>29.265000000000001</v>
      </c>
      <c r="C969">
        <v>-94.86</v>
      </c>
    </row>
    <row r="970" spans="1:3" x14ac:dyDescent="0.25">
      <c r="A970" t="s">
        <v>967</v>
      </c>
      <c r="B970">
        <v>29.521000000000001</v>
      </c>
      <c r="C970">
        <v>-95.24</v>
      </c>
    </row>
    <row r="971" spans="1:3" x14ac:dyDescent="0.25">
      <c r="A971" t="s">
        <v>968</v>
      </c>
      <c r="B971">
        <v>30.062000000000001</v>
      </c>
      <c r="C971">
        <v>-95.552999999999997</v>
      </c>
    </row>
    <row r="972" spans="1:3" x14ac:dyDescent="0.25">
      <c r="A972" t="s">
        <v>969</v>
      </c>
      <c r="B972">
        <v>29.992999999999999</v>
      </c>
      <c r="C972">
        <v>-95.364000000000004</v>
      </c>
    </row>
    <row r="973" spans="1:3" x14ac:dyDescent="0.25">
      <c r="A973" t="s">
        <v>970</v>
      </c>
      <c r="B973">
        <v>29.645</v>
      </c>
      <c r="C973">
        <v>-95.278999999999996</v>
      </c>
    </row>
    <row r="974" spans="1:3" x14ac:dyDescent="0.25">
      <c r="A974" t="s">
        <v>971</v>
      </c>
      <c r="B974">
        <v>29.606999999999999</v>
      </c>
      <c r="C974">
        <v>-95.159000000000006</v>
      </c>
    </row>
    <row r="975" spans="1:3" x14ac:dyDescent="0.25">
      <c r="A975" t="s">
        <v>972</v>
      </c>
      <c r="B975">
        <v>30.352</v>
      </c>
      <c r="C975">
        <v>-95.414000000000001</v>
      </c>
    </row>
    <row r="976" spans="1:3" x14ac:dyDescent="0.25">
      <c r="A976" t="s">
        <v>973</v>
      </c>
      <c r="B976">
        <v>30.588000000000001</v>
      </c>
      <c r="C976">
        <v>-96.364000000000004</v>
      </c>
    </row>
    <row r="977" spans="1:3" x14ac:dyDescent="0.25">
      <c r="A977" t="s">
        <v>974</v>
      </c>
      <c r="B977">
        <v>31.234000000000002</v>
      </c>
      <c r="C977">
        <v>-94.75</v>
      </c>
    </row>
    <row r="978" spans="1:3" x14ac:dyDescent="0.25">
      <c r="A978" t="s">
        <v>975</v>
      </c>
      <c r="B978">
        <v>32.384999999999998</v>
      </c>
      <c r="C978">
        <v>-94.710999999999999</v>
      </c>
    </row>
    <row r="979" spans="1:3" x14ac:dyDescent="0.25">
      <c r="A979" t="s">
        <v>976</v>
      </c>
      <c r="B979">
        <v>32.353999999999999</v>
      </c>
      <c r="C979">
        <v>-95.402000000000001</v>
      </c>
    </row>
    <row r="980" spans="1:3" x14ac:dyDescent="0.25">
      <c r="A980" t="s">
        <v>977</v>
      </c>
      <c r="B980">
        <v>32.027000000000001</v>
      </c>
      <c r="C980">
        <v>-96.397999999999996</v>
      </c>
    </row>
    <row r="981" spans="1:3" x14ac:dyDescent="0.25">
      <c r="A981" t="s">
        <v>978</v>
      </c>
      <c r="B981">
        <v>32.384999999999998</v>
      </c>
      <c r="C981">
        <v>-94.710999999999999</v>
      </c>
    </row>
    <row r="982" spans="1:3" x14ac:dyDescent="0.25">
      <c r="A982" t="s">
        <v>979</v>
      </c>
      <c r="B982">
        <v>32.664000000000001</v>
      </c>
      <c r="C982">
        <v>-97.093999999999994</v>
      </c>
    </row>
    <row r="983" spans="1:3" x14ac:dyDescent="0.25">
      <c r="A983" t="s">
        <v>980</v>
      </c>
      <c r="B983">
        <v>32.71</v>
      </c>
      <c r="C983">
        <v>-96.266999999999996</v>
      </c>
    </row>
    <row r="984" spans="1:3" x14ac:dyDescent="0.25">
      <c r="A984" t="s">
        <v>981</v>
      </c>
      <c r="B984">
        <v>25.905999999999999</v>
      </c>
      <c r="C984">
        <v>-97.426000000000002</v>
      </c>
    </row>
    <row r="985" spans="1:3" x14ac:dyDescent="0.25">
      <c r="A985" t="s">
        <v>982</v>
      </c>
      <c r="B985">
        <v>26.228000000000002</v>
      </c>
      <c r="C985">
        <v>-97.653999999999996</v>
      </c>
    </row>
    <row r="986" spans="1:3" x14ac:dyDescent="0.25">
      <c r="A986" t="s">
        <v>983</v>
      </c>
      <c r="B986">
        <v>26.175000000000001</v>
      </c>
      <c r="C986">
        <v>-98.238</v>
      </c>
    </row>
    <row r="987" spans="1:3" x14ac:dyDescent="0.25">
      <c r="A987" t="s">
        <v>984</v>
      </c>
      <c r="B987">
        <v>26.15</v>
      </c>
      <c r="C987">
        <v>-97.332999999999998</v>
      </c>
    </row>
    <row r="988" spans="1:3" x14ac:dyDescent="0.25">
      <c r="A988" t="s">
        <v>985</v>
      </c>
      <c r="B988">
        <v>27.773</v>
      </c>
      <c r="C988">
        <v>-97.513000000000005</v>
      </c>
    </row>
    <row r="989" spans="1:3" x14ac:dyDescent="0.25">
      <c r="A989" t="s">
        <v>986</v>
      </c>
      <c r="B989">
        <v>27.5</v>
      </c>
      <c r="C989">
        <v>-97.816999999999993</v>
      </c>
    </row>
    <row r="990" spans="1:3" x14ac:dyDescent="0.25">
      <c r="A990" t="s">
        <v>987</v>
      </c>
      <c r="B990">
        <v>27.741</v>
      </c>
      <c r="C990">
        <v>-98.027000000000001</v>
      </c>
    </row>
    <row r="991" spans="1:3" x14ac:dyDescent="0.25">
      <c r="A991" t="s">
        <v>988</v>
      </c>
      <c r="B991">
        <v>27.9</v>
      </c>
      <c r="C991">
        <v>-98.05</v>
      </c>
    </row>
    <row r="992" spans="1:3" x14ac:dyDescent="0.25">
      <c r="A992" t="s">
        <v>989</v>
      </c>
      <c r="B992">
        <v>27.544</v>
      </c>
      <c r="C992">
        <v>-99.460999999999999</v>
      </c>
    </row>
    <row r="993" spans="1:3" x14ac:dyDescent="0.25">
      <c r="A993" t="s">
        <v>990</v>
      </c>
      <c r="B993">
        <v>29.337</v>
      </c>
      <c r="C993">
        <v>-98.471000000000004</v>
      </c>
    </row>
    <row r="994" spans="1:3" x14ac:dyDescent="0.25">
      <c r="A994" t="s">
        <v>991</v>
      </c>
      <c r="B994">
        <v>28.084</v>
      </c>
      <c r="C994">
        <v>-97.046000000000006</v>
      </c>
    </row>
    <row r="995" spans="1:3" x14ac:dyDescent="0.25">
      <c r="A995" t="s">
        <v>992</v>
      </c>
      <c r="B995">
        <v>28.457999999999998</v>
      </c>
      <c r="C995">
        <v>-99.22</v>
      </c>
    </row>
    <row r="996" spans="1:3" x14ac:dyDescent="0.25">
      <c r="A996" t="s">
        <v>993</v>
      </c>
      <c r="B996">
        <v>29.11</v>
      </c>
      <c r="C996">
        <v>-95.462000000000003</v>
      </c>
    </row>
    <row r="997" spans="1:3" x14ac:dyDescent="0.25">
      <c r="A997" t="s">
        <v>994</v>
      </c>
      <c r="B997">
        <v>29.533000000000001</v>
      </c>
      <c r="C997">
        <v>-98.463999999999999</v>
      </c>
    </row>
    <row r="998" spans="1:3" x14ac:dyDescent="0.25">
      <c r="A998" t="s">
        <v>995</v>
      </c>
      <c r="B998">
        <v>29.359000000000002</v>
      </c>
      <c r="C998">
        <v>-99.174000000000007</v>
      </c>
    </row>
    <row r="999" spans="1:3" x14ac:dyDescent="0.25">
      <c r="A999" t="s">
        <v>996</v>
      </c>
      <c r="B999">
        <v>29.384</v>
      </c>
      <c r="C999">
        <v>-98.581000000000003</v>
      </c>
    </row>
    <row r="1000" spans="1:3" x14ac:dyDescent="0.25">
      <c r="A1000" t="s">
        <v>997</v>
      </c>
      <c r="B1000">
        <v>29.529</v>
      </c>
      <c r="C1000">
        <v>-98.278999999999996</v>
      </c>
    </row>
    <row r="1001" spans="1:3" x14ac:dyDescent="0.25">
      <c r="A1001" t="s">
        <v>998</v>
      </c>
      <c r="B1001">
        <v>30.178999999999998</v>
      </c>
      <c r="C1001">
        <v>-97.680999999999997</v>
      </c>
    </row>
    <row r="1002" spans="1:3" x14ac:dyDescent="0.25">
      <c r="A1002" t="s">
        <v>999</v>
      </c>
      <c r="B1002">
        <v>33.18</v>
      </c>
      <c r="C1002">
        <v>-96.59</v>
      </c>
    </row>
    <row r="1003" spans="1:3" x14ac:dyDescent="0.25">
      <c r="A1003" t="s">
        <v>1000</v>
      </c>
      <c r="B1003">
        <v>30.741</v>
      </c>
      <c r="C1003">
        <v>-98.234999999999999</v>
      </c>
    </row>
    <row r="1004" spans="1:3" x14ac:dyDescent="0.25">
      <c r="A1004" t="s">
        <v>1001</v>
      </c>
      <c r="B1004">
        <v>29.622</v>
      </c>
      <c r="C1004">
        <v>-95.656000000000006</v>
      </c>
    </row>
    <row r="1005" spans="1:3" x14ac:dyDescent="0.25">
      <c r="A1005" t="s">
        <v>1002</v>
      </c>
      <c r="B1005">
        <v>30.317</v>
      </c>
      <c r="C1005">
        <v>-97.766999999999996</v>
      </c>
    </row>
    <row r="1006" spans="1:3" x14ac:dyDescent="0.25">
      <c r="A1006" t="s">
        <v>1003</v>
      </c>
      <c r="B1006">
        <v>30.178999999999998</v>
      </c>
      <c r="C1006">
        <v>-97.680999999999997</v>
      </c>
    </row>
    <row r="1007" spans="1:3" x14ac:dyDescent="0.25">
      <c r="A1007" t="s">
        <v>1004</v>
      </c>
      <c r="B1007">
        <v>28.863</v>
      </c>
      <c r="C1007">
        <v>-96.93</v>
      </c>
    </row>
    <row r="1008" spans="1:3" x14ac:dyDescent="0.25">
      <c r="A1008" t="s">
        <v>1005</v>
      </c>
      <c r="B1008">
        <v>28.367000000000001</v>
      </c>
      <c r="C1008">
        <v>-97.667000000000002</v>
      </c>
    </row>
    <row r="1009" spans="1:3" x14ac:dyDescent="0.25">
      <c r="A1009" t="s">
        <v>1006</v>
      </c>
      <c r="B1009">
        <v>31.611000000000001</v>
      </c>
      <c r="C1009">
        <v>-97.228999999999999</v>
      </c>
    </row>
    <row r="1010" spans="1:3" x14ac:dyDescent="0.25">
      <c r="A1010" t="s">
        <v>1007</v>
      </c>
      <c r="B1010">
        <v>31.134</v>
      </c>
      <c r="C1010">
        <v>-97.712999999999994</v>
      </c>
    </row>
    <row r="1011" spans="1:3" x14ac:dyDescent="0.25">
      <c r="A1011" t="s">
        <v>1008</v>
      </c>
      <c r="B1011">
        <v>31.134</v>
      </c>
      <c r="C1011">
        <v>-97.712999999999994</v>
      </c>
    </row>
    <row r="1012" spans="1:3" x14ac:dyDescent="0.25">
      <c r="A1012" t="s">
        <v>1009</v>
      </c>
      <c r="B1012">
        <v>31.07</v>
      </c>
      <c r="C1012">
        <v>-97.822000000000003</v>
      </c>
    </row>
    <row r="1013" spans="1:3" x14ac:dyDescent="0.25">
      <c r="A1013" t="s">
        <v>1010</v>
      </c>
      <c r="B1013">
        <v>32.847000000000001</v>
      </c>
      <c r="C1013">
        <v>-96.850999999999999</v>
      </c>
    </row>
    <row r="1014" spans="1:3" x14ac:dyDescent="0.25">
      <c r="A1014" t="s">
        <v>1011</v>
      </c>
      <c r="B1014">
        <v>32.847000000000001</v>
      </c>
      <c r="C1014">
        <v>-96.850999999999999</v>
      </c>
    </row>
    <row r="1015" spans="1:3" x14ac:dyDescent="0.25">
      <c r="A1015" t="s">
        <v>1012</v>
      </c>
      <c r="B1015">
        <v>32.847000000000001</v>
      </c>
      <c r="C1015">
        <v>-96.850999999999999</v>
      </c>
    </row>
    <row r="1016" spans="1:3" x14ac:dyDescent="0.25">
      <c r="A1016" t="s">
        <v>1013</v>
      </c>
      <c r="B1016">
        <v>32.732999999999997</v>
      </c>
      <c r="C1016">
        <v>-96.966999999999999</v>
      </c>
    </row>
    <row r="1017" spans="1:3" x14ac:dyDescent="0.25">
      <c r="A1017" t="s">
        <v>1014</v>
      </c>
      <c r="B1017">
        <v>33.206000000000003</v>
      </c>
      <c r="C1017">
        <v>-97.198999999999998</v>
      </c>
    </row>
    <row r="1018" spans="1:3" x14ac:dyDescent="0.25">
      <c r="A1018" t="s">
        <v>1015</v>
      </c>
      <c r="B1018">
        <v>32.896000000000001</v>
      </c>
      <c r="C1018">
        <v>-97.040999999999997</v>
      </c>
    </row>
    <row r="1019" spans="1:3" x14ac:dyDescent="0.25">
      <c r="A1019" t="s">
        <v>1016</v>
      </c>
      <c r="B1019">
        <v>32.972999999999999</v>
      </c>
      <c r="C1019">
        <v>-97.317999999999998</v>
      </c>
    </row>
    <row r="1020" spans="1:3" x14ac:dyDescent="0.25">
      <c r="A1020" t="s">
        <v>1017</v>
      </c>
      <c r="B1020">
        <v>32.768999999999998</v>
      </c>
      <c r="C1020">
        <v>-97.441000000000003</v>
      </c>
    </row>
    <row r="1021" spans="1:3" x14ac:dyDescent="0.25">
      <c r="A1021" t="s">
        <v>1018</v>
      </c>
      <c r="B1021">
        <v>32.819000000000003</v>
      </c>
      <c r="C1021">
        <v>-97.361000000000004</v>
      </c>
    </row>
    <row r="1022" spans="1:3" x14ac:dyDescent="0.25">
      <c r="A1022" t="s">
        <v>1019</v>
      </c>
      <c r="B1022">
        <v>32.781999999999996</v>
      </c>
      <c r="C1022">
        <v>-98.061000000000007</v>
      </c>
    </row>
    <row r="1023" spans="1:3" x14ac:dyDescent="0.25">
      <c r="A1023" t="s">
        <v>1020</v>
      </c>
      <c r="B1023">
        <v>32.680999999999997</v>
      </c>
      <c r="C1023">
        <v>-96.867999999999995</v>
      </c>
    </row>
    <row r="1024" spans="1:3" x14ac:dyDescent="0.25">
      <c r="A1024" t="s">
        <v>1021</v>
      </c>
      <c r="B1024">
        <v>32.215000000000003</v>
      </c>
      <c r="C1024">
        <v>-98.177999999999997</v>
      </c>
    </row>
    <row r="1025" spans="1:3" x14ac:dyDescent="0.25">
      <c r="A1025" t="s">
        <v>1022</v>
      </c>
      <c r="B1025">
        <v>29.367000000000001</v>
      </c>
      <c r="C1025">
        <v>-100.917</v>
      </c>
    </row>
    <row r="1026" spans="1:3" x14ac:dyDescent="0.25">
      <c r="A1026" t="s">
        <v>1023</v>
      </c>
      <c r="B1026">
        <v>29.359000000000002</v>
      </c>
      <c r="C1026">
        <v>-100.77800000000001</v>
      </c>
    </row>
    <row r="1027" spans="1:3" x14ac:dyDescent="0.25">
      <c r="A1027" t="s">
        <v>1024</v>
      </c>
      <c r="B1027">
        <v>30.047999999999998</v>
      </c>
      <c r="C1027">
        <v>-102.21299999999999</v>
      </c>
    </row>
    <row r="1028" spans="1:3" x14ac:dyDescent="0.25">
      <c r="A1028" t="s">
        <v>1025</v>
      </c>
      <c r="B1028">
        <v>30.917000000000002</v>
      </c>
      <c r="C1028">
        <v>-102.917</v>
      </c>
    </row>
    <row r="1029" spans="1:3" x14ac:dyDescent="0.25">
      <c r="A1029" t="s">
        <v>1026</v>
      </c>
      <c r="B1029">
        <v>31.831</v>
      </c>
      <c r="C1029">
        <v>-104.809</v>
      </c>
    </row>
    <row r="1030" spans="1:3" x14ac:dyDescent="0.25">
      <c r="A1030" t="s">
        <v>1027</v>
      </c>
      <c r="B1030">
        <v>31.350999999999999</v>
      </c>
      <c r="C1030">
        <v>-100.494</v>
      </c>
    </row>
    <row r="1031" spans="1:3" x14ac:dyDescent="0.25">
      <c r="A1031" t="s">
        <v>1028</v>
      </c>
      <c r="B1031">
        <v>36.023000000000003</v>
      </c>
      <c r="C1031">
        <v>-102.547</v>
      </c>
    </row>
    <row r="1032" spans="1:3" x14ac:dyDescent="0.25">
      <c r="A1032" t="s">
        <v>1029</v>
      </c>
      <c r="B1032">
        <v>31.920999999999999</v>
      </c>
      <c r="C1032">
        <v>-102.387</v>
      </c>
    </row>
    <row r="1033" spans="1:3" x14ac:dyDescent="0.25">
      <c r="A1033" t="s">
        <v>1030</v>
      </c>
      <c r="B1033">
        <v>31.931999999999999</v>
      </c>
      <c r="C1033">
        <v>-102.208</v>
      </c>
    </row>
    <row r="1034" spans="1:3" x14ac:dyDescent="0.25">
      <c r="A1034" t="s">
        <v>1031</v>
      </c>
      <c r="B1034">
        <v>32.216999999999999</v>
      </c>
      <c r="C1034">
        <v>-101.517</v>
      </c>
    </row>
    <row r="1035" spans="1:3" x14ac:dyDescent="0.25">
      <c r="A1035" t="s">
        <v>1032</v>
      </c>
      <c r="B1035">
        <v>31.78</v>
      </c>
      <c r="C1035">
        <v>-103.20099999999999</v>
      </c>
    </row>
    <row r="1036" spans="1:3" x14ac:dyDescent="0.25">
      <c r="A1036" t="s">
        <v>1033</v>
      </c>
      <c r="B1036">
        <v>32.411000000000001</v>
      </c>
      <c r="C1036">
        <v>-99.682000000000002</v>
      </c>
    </row>
    <row r="1037" spans="1:3" x14ac:dyDescent="0.25">
      <c r="A1037" t="s">
        <v>1034</v>
      </c>
      <c r="B1037">
        <v>32.420999999999999</v>
      </c>
      <c r="C1037">
        <v>-99.855000000000004</v>
      </c>
    </row>
    <row r="1038" spans="1:3" x14ac:dyDescent="0.25">
      <c r="A1038" t="s">
        <v>1035</v>
      </c>
      <c r="B1038">
        <v>31.794</v>
      </c>
      <c r="C1038">
        <v>-98.956000000000003</v>
      </c>
    </row>
    <row r="1039" spans="1:3" x14ac:dyDescent="0.25">
      <c r="A1039" t="s">
        <v>1036</v>
      </c>
      <c r="B1039">
        <v>33.667999999999999</v>
      </c>
      <c r="C1039">
        <v>-101.821</v>
      </c>
    </row>
    <row r="1040" spans="1:3" x14ac:dyDescent="0.25">
      <c r="A1040" t="s">
        <v>1037</v>
      </c>
      <c r="B1040">
        <v>33.6</v>
      </c>
      <c r="C1040">
        <v>-102.05</v>
      </c>
    </row>
    <row r="1041" spans="1:3" x14ac:dyDescent="0.25">
      <c r="A1041" t="s">
        <v>1038</v>
      </c>
      <c r="B1041">
        <v>31.811</v>
      </c>
      <c r="C1041">
        <v>-106.376</v>
      </c>
    </row>
    <row r="1042" spans="1:3" x14ac:dyDescent="0.25">
      <c r="A1042" t="s">
        <v>1039</v>
      </c>
      <c r="B1042">
        <v>33.978999999999999</v>
      </c>
      <c r="C1042">
        <v>-98.492999999999995</v>
      </c>
    </row>
    <row r="1043" spans="1:3" x14ac:dyDescent="0.25">
      <c r="A1043" t="s">
        <v>1040</v>
      </c>
      <c r="B1043">
        <v>33.966999999999999</v>
      </c>
      <c r="C1043">
        <v>-98.483000000000004</v>
      </c>
    </row>
    <row r="1044" spans="1:3" x14ac:dyDescent="0.25">
      <c r="A1044" t="s">
        <v>1041</v>
      </c>
      <c r="B1044">
        <v>34.433999999999997</v>
      </c>
      <c r="C1044">
        <v>-100.288</v>
      </c>
    </row>
    <row r="1045" spans="1:3" x14ac:dyDescent="0.25">
      <c r="A1045" t="s">
        <v>1042</v>
      </c>
      <c r="B1045">
        <v>34.433999999999997</v>
      </c>
      <c r="C1045">
        <v>-100.288</v>
      </c>
    </row>
    <row r="1046" spans="1:3" x14ac:dyDescent="0.25">
      <c r="A1046" t="s">
        <v>1043</v>
      </c>
      <c r="B1046">
        <v>31.178999999999998</v>
      </c>
      <c r="C1046">
        <v>-99.323999999999998</v>
      </c>
    </row>
    <row r="1047" spans="1:3" x14ac:dyDescent="0.25">
      <c r="A1047" t="s">
        <v>1044</v>
      </c>
      <c r="B1047">
        <v>35.219000000000001</v>
      </c>
      <c r="C1047">
        <v>-101.706</v>
      </c>
    </row>
    <row r="1048" spans="1:3" x14ac:dyDescent="0.25">
      <c r="A1048" t="s">
        <v>1045</v>
      </c>
      <c r="B1048">
        <v>35.700000000000003</v>
      </c>
      <c r="C1048">
        <v>-101.39400000000001</v>
      </c>
    </row>
    <row r="1049" spans="1:3" x14ac:dyDescent="0.25">
      <c r="A1049" t="s">
        <v>1046</v>
      </c>
      <c r="B1049">
        <v>30.510999999999999</v>
      </c>
      <c r="C1049">
        <v>-99.766000000000005</v>
      </c>
    </row>
    <row r="1050" spans="1:3" x14ac:dyDescent="0.25">
      <c r="A1050" t="s">
        <v>1047</v>
      </c>
      <c r="B1050">
        <v>41.05</v>
      </c>
      <c r="C1050">
        <v>-113.06699999999999</v>
      </c>
    </row>
    <row r="1051" spans="1:3" x14ac:dyDescent="0.25">
      <c r="A1051" t="s">
        <v>1048</v>
      </c>
      <c r="B1051">
        <v>41.05</v>
      </c>
      <c r="C1051">
        <v>-113.06699999999999</v>
      </c>
    </row>
    <row r="1052" spans="1:3" x14ac:dyDescent="0.25">
      <c r="A1052" t="s">
        <v>1049</v>
      </c>
      <c r="B1052">
        <v>39.545000000000002</v>
      </c>
      <c r="C1052">
        <v>-110.75</v>
      </c>
    </row>
    <row r="1053" spans="1:3" x14ac:dyDescent="0.25">
      <c r="A1053" t="s">
        <v>1050</v>
      </c>
      <c r="B1053">
        <v>40.317</v>
      </c>
      <c r="C1053">
        <v>-112.3</v>
      </c>
    </row>
    <row r="1054" spans="1:3" x14ac:dyDescent="0.25">
      <c r="A1054" t="s">
        <v>1051</v>
      </c>
      <c r="B1054">
        <v>38.417000000000002</v>
      </c>
      <c r="C1054">
        <v>-113.017</v>
      </c>
    </row>
    <row r="1055" spans="1:3" x14ac:dyDescent="0.25">
      <c r="A1055" t="s">
        <v>1052</v>
      </c>
      <c r="B1055">
        <v>37.701999999999998</v>
      </c>
      <c r="C1055">
        <v>-113.09699999999999</v>
      </c>
    </row>
    <row r="1056" spans="1:3" x14ac:dyDescent="0.25">
      <c r="A1056" t="s">
        <v>1053</v>
      </c>
      <c r="B1056">
        <v>37.706000000000003</v>
      </c>
      <c r="C1056">
        <v>-112.146</v>
      </c>
    </row>
    <row r="1057" spans="1:3" x14ac:dyDescent="0.25">
      <c r="A1057" t="s">
        <v>1054</v>
      </c>
      <c r="B1057">
        <v>38.442999999999998</v>
      </c>
      <c r="C1057">
        <v>-113.02800000000001</v>
      </c>
    </row>
    <row r="1058" spans="1:3" x14ac:dyDescent="0.25">
      <c r="A1058" t="s">
        <v>1055</v>
      </c>
      <c r="B1058">
        <v>38.755000000000003</v>
      </c>
      <c r="C1058">
        <v>-109.754</v>
      </c>
    </row>
    <row r="1059" spans="1:3" x14ac:dyDescent="0.25">
      <c r="A1059" t="s">
        <v>1056</v>
      </c>
      <c r="B1059">
        <v>41.786999999999999</v>
      </c>
      <c r="C1059">
        <v>-111.85299999999999</v>
      </c>
    </row>
    <row r="1060" spans="1:3" x14ac:dyDescent="0.25">
      <c r="A1060" t="s">
        <v>1057</v>
      </c>
      <c r="B1060">
        <v>38.442999999999998</v>
      </c>
      <c r="C1060">
        <v>-113.02800000000001</v>
      </c>
    </row>
    <row r="1061" spans="1:3" x14ac:dyDescent="0.25">
      <c r="A1061" t="s">
        <v>1058</v>
      </c>
      <c r="B1061">
        <v>40.441000000000003</v>
      </c>
      <c r="C1061">
        <v>-109.509</v>
      </c>
    </row>
    <row r="1062" spans="1:3" x14ac:dyDescent="0.25">
      <c r="A1062" t="s">
        <v>1059</v>
      </c>
      <c r="B1062">
        <v>40.786999999999999</v>
      </c>
      <c r="C1062">
        <v>-111.968</v>
      </c>
    </row>
    <row r="1063" spans="1:3" x14ac:dyDescent="0.25">
      <c r="A1063" t="s">
        <v>1060</v>
      </c>
      <c r="B1063">
        <v>41.195999999999998</v>
      </c>
      <c r="C1063">
        <v>-112.011</v>
      </c>
    </row>
    <row r="1064" spans="1:3" x14ac:dyDescent="0.25">
      <c r="A1064" t="s">
        <v>1061</v>
      </c>
      <c r="B1064">
        <v>41.122999999999998</v>
      </c>
      <c r="C1064">
        <v>-111.973</v>
      </c>
    </row>
    <row r="1065" spans="1:3" x14ac:dyDescent="0.25">
      <c r="A1065" t="s">
        <v>1062</v>
      </c>
      <c r="B1065">
        <v>40.719000000000001</v>
      </c>
      <c r="C1065">
        <v>-114.018</v>
      </c>
    </row>
    <row r="1066" spans="1:3" x14ac:dyDescent="0.25">
      <c r="A1066" t="s">
        <v>1063</v>
      </c>
      <c r="B1066">
        <v>40.200000000000003</v>
      </c>
      <c r="C1066">
        <v>-112.93300000000001</v>
      </c>
    </row>
    <row r="1067" spans="1:3" x14ac:dyDescent="0.25">
      <c r="A1067" t="s">
        <v>1064</v>
      </c>
      <c r="B1067">
        <v>40.198999999999998</v>
      </c>
      <c r="C1067">
        <v>-112.937</v>
      </c>
    </row>
    <row r="1068" spans="1:3" x14ac:dyDescent="0.25">
      <c r="A1068" t="s">
        <v>1065</v>
      </c>
      <c r="B1068">
        <v>38.442999999999998</v>
      </c>
      <c r="C1068">
        <v>-113.02800000000001</v>
      </c>
    </row>
    <row r="1069" spans="1:3" x14ac:dyDescent="0.25">
      <c r="A1069" t="s">
        <v>1066</v>
      </c>
      <c r="B1069">
        <v>37.064</v>
      </c>
      <c r="C1069">
        <v>-81.798000000000002</v>
      </c>
    </row>
    <row r="1070" spans="1:3" x14ac:dyDescent="0.25">
      <c r="A1070" t="s">
        <v>1067</v>
      </c>
      <c r="B1070">
        <v>38.247</v>
      </c>
      <c r="C1070">
        <v>-78.034000000000006</v>
      </c>
    </row>
    <row r="1071" spans="1:3" x14ac:dyDescent="0.25">
      <c r="A1071" t="s">
        <v>1068</v>
      </c>
      <c r="B1071">
        <v>36.817</v>
      </c>
      <c r="C1071">
        <v>-76.033000000000001</v>
      </c>
    </row>
    <row r="1072" spans="1:3" x14ac:dyDescent="0.25">
      <c r="A1072" t="s">
        <v>1069</v>
      </c>
      <c r="B1072">
        <v>36.904000000000003</v>
      </c>
      <c r="C1072">
        <v>-76.191999999999993</v>
      </c>
    </row>
    <row r="1073" spans="1:3" x14ac:dyDescent="0.25">
      <c r="A1073" t="s">
        <v>1070</v>
      </c>
      <c r="B1073">
        <v>37.716999999999999</v>
      </c>
      <c r="C1073">
        <v>-77.433000000000007</v>
      </c>
    </row>
    <row r="1074" spans="1:3" x14ac:dyDescent="0.25">
      <c r="A1074" t="s">
        <v>1071</v>
      </c>
      <c r="B1074">
        <v>36.933</v>
      </c>
      <c r="C1074">
        <v>-76.283000000000001</v>
      </c>
    </row>
    <row r="1075" spans="1:3" x14ac:dyDescent="0.25">
      <c r="A1075" t="s">
        <v>1072</v>
      </c>
      <c r="B1075">
        <v>37.131999999999998</v>
      </c>
      <c r="C1075">
        <v>-76.492999999999995</v>
      </c>
    </row>
    <row r="1076" spans="1:3" x14ac:dyDescent="0.25">
      <c r="A1076" t="s">
        <v>1073</v>
      </c>
      <c r="B1076">
        <v>37.133000000000003</v>
      </c>
      <c r="C1076">
        <v>-76.608999999999995</v>
      </c>
    </row>
    <row r="1077" spans="1:3" x14ac:dyDescent="0.25">
      <c r="A1077" t="s">
        <v>1074</v>
      </c>
      <c r="B1077">
        <v>37.511000000000003</v>
      </c>
      <c r="C1077">
        <v>-77.322999999999993</v>
      </c>
    </row>
    <row r="1078" spans="1:3" x14ac:dyDescent="0.25">
      <c r="A1078" t="s">
        <v>1075</v>
      </c>
      <c r="B1078">
        <v>38.139000000000003</v>
      </c>
      <c r="C1078">
        <v>-78.453000000000003</v>
      </c>
    </row>
    <row r="1079" spans="1:3" x14ac:dyDescent="0.25">
      <c r="A1079" t="s">
        <v>1076</v>
      </c>
      <c r="B1079">
        <v>36.984000000000002</v>
      </c>
      <c r="C1079">
        <v>-77.007000000000005</v>
      </c>
    </row>
    <row r="1080" spans="1:3" x14ac:dyDescent="0.25">
      <c r="A1080" t="s">
        <v>1077</v>
      </c>
      <c r="B1080">
        <v>37.941000000000003</v>
      </c>
      <c r="C1080">
        <v>-75.495999999999995</v>
      </c>
    </row>
    <row r="1081" spans="1:3" x14ac:dyDescent="0.25">
      <c r="A1081" t="s">
        <v>1078</v>
      </c>
      <c r="B1081">
        <v>37.941000000000003</v>
      </c>
      <c r="C1081">
        <v>-75.495999999999995</v>
      </c>
    </row>
    <row r="1082" spans="1:3" x14ac:dyDescent="0.25">
      <c r="A1082" t="s">
        <v>1079</v>
      </c>
      <c r="B1082">
        <v>38.935000000000002</v>
      </c>
      <c r="C1082">
        <v>-77.447999999999993</v>
      </c>
    </row>
    <row r="1083" spans="1:3" x14ac:dyDescent="0.25">
      <c r="A1083" t="s">
        <v>1080</v>
      </c>
      <c r="B1083">
        <v>38.5</v>
      </c>
      <c r="C1083">
        <v>-77.3</v>
      </c>
    </row>
    <row r="1084" spans="1:3" x14ac:dyDescent="0.25">
      <c r="A1084" t="s">
        <v>1081</v>
      </c>
      <c r="B1084">
        <v>38.715000000000003</v>
      </c>
      <c r="C1084">
        <v>-77.314999999999998</v>
      </c>
    </row>
    <row r="1085" spans="1:3" x14ac:dyDescent="0.25">
      <c r="A1085" t="s">
        <v>1082</v>
      </c>
      <c r="B1085">
        <v>37.338000000000001</v>
      </c>
      <c r="C1085">
        <v>-79.206999999999994</v>
      </c>
    </row>
    <row r="1086" spans="1:3" x14ac:dyDescent="0.25">
      <c r="A1086" t="s">
        <v>1083</v>
      </c>
      <c r="B1086">
        <v>36.573</v>
      </c>
      <c r="C1086">
        <v>-79.335999999999999</v>
      </c>
    </row>
    <row r="1087" spans="1:3" x14ac:dyDescent="0.25">
      <c r="A1087" t="s">
        <v>1084</v>
      </c>
      <c r="B1087">
        <v>37.317</v>
      </c>
      <c r="C1087">
        <v>-79.974000000000004</v>
      </c>
    </row>
    <row r="1088" spans="1:3" x14ac:dyDescent="0.25">
      <c r="A1088" t="s">
        <v>1085</v>
      </c>
      <c r="B1088">
        <v>37.082999999999998</v>
      </c>
      <c r="C1088">
        <v>-76.36</v>
      </c>
    </row>
    <row r="1089" spans="1:3" x14ac:dyDescent="0.25">
      <c r="A1089" t="s">
        <v>1086</v>
      </c>
      <c r="B1089">
        <v>44.533999999999999</v>
      </c>
      <c r="C1089">
        <v>-72.614000000000004</v>
      </c>
    </row>
    <row r="1090" spans="1:3" x14ac:dyDescent="0.25">
      <c r="A1090" t="s">
        <v>1087</v>
      </c>
      <c r="B1090">
        <v>43.344000000000001</v>
      </c>
      <c r="C1090">
        <v>-72.518000000000001</v>
      </c>
    </row>
    <row r="1091" spans="1:3" x14ac:dyDescent="0.25">
      <c r="A1091" t="s">
        <v>1088</v>
      </c>
      <c r="B1091">
        <v>44.203000000000003</v>
      </c>
      <c r="C1091">
        <v>-72.578999999999994</v>
      </c>
    </row>
    <row r="1092" spans="1:3" x14ac:dyDescent="0.25">
      <c r="A1092" t="s">
        <v>1089</v>
      </c>
      <c r="B1092">
        <v>42.890999999999998</v>
      </c>
      <c r="C1092">
        <v>-73.247</v>
      </c>
    </row>
    <row r="1093" spans="1:3" x14ac:dyDescent="0.25">
      <c r="A1093" t="s">
        <v>1090</v>
      </c>
      <c r="B1093">
        <v>44.468000000000004</v>
      </c>
      <c r="C1093">
        <v>-73.150000000000006</v>
      </c>
    </row>
    <row r="1094" spans="1:3" x14ac:dyDescent="0.25">
      <c r="A1094" t="s">
        <v>1091</v>
      </c>
      <c r="B1094">
        <v>48.35</v>
      </c>
      <c r="C1094">
        <v>-122.65</v>
      </c>
    </row>
    <row r="1095" spans="1:3" x14ac:dyDescent="0.25">
      <c r="A1095" t="s">
        <v>1092</v>
      </c>
      <c r="B1095">
        <v>46.564</v>
      </c>
      <c r="C1095">
        <v>-120.53400000000001</v>
      </c>
    </row>
    <row r="1096" spans="1:3" x14ac:dyDescent="0.25">
      <c r="A1096" t="s">
        <v>1093</v>
      </c>
      <c r="B1096">
        <v>47.292999999999999</v>
      </c>
      <c r="C1096">
        <v>-121.337</v>
      </c>
    </row>
    <row r="1097" spans="1:3" x14ac:dyDescent="0.25">
      <c r="A1097" t="s">
        <v>1094</v>
      </c>
      <c r="B1097">
        <v>47.399000000000001</v>
      </c>
      <c r="C1097">
        <v>-120.20699999999999</v>
      </c>
    </row>
    <row r="1098" spans="1:3" x14ac:dyDescent="0.25">
      <c r="A1098" t="s">
        <v>1095</v>
      </c>
      <c r="B1098">
        <v>47.304000000000002</v>
      </c>
      <c r="C1098">
        <v>-119.514</v>
      </c>
    </row>
    <row r="1099" spans="1:3" x14ac:dyDescent="0.25">
      <c r="A1099" t="s">
        <v>1096</v>
      </c>
      <c r="B1099">
        <v>47.207999999999998</v>
      </c>
      <c r="C1099">
        <v>-119.319</v>
      </c>
    </row>
    <row r="1100" spans="1:3" x14ac:dyDescent="0.25">
      <c r="A1100" t="s">
        <v>1097</v>
      </c>
      <c r="B1100">
        <v>46.566000000000003</v>
      </c>
      <c r="C1100">
        <v>-119.601</v>
      </c>
    </row>
    <row r="1101" spans="1:3" x14ac:dyDescent="0.25">
      <c r="A1101" t="s">
        <v>1098</v>
      </c>
      <c r="B1101">
        <v>46.265000000000001</v>
      </c>
      <c r="C1101">
        <v>-119.11799999999999</v>
      </c>
    </row>
    <row r="1102" spans="1:3" x14ac:dyDescent="0.25">
      <c r="A1102" t="s">
        <v>1099</v>
      </c>
      <c r="B1102">
        <v>46.094999999999999</v>
      </c>
      <c r="C1102">
        <v>-118.28700000000001</v>
      </c>
    </row>
    <row r="1103" spans="1:3" x14ac:dyDescent="0.25">
      <c r="A1103" t="s">
        <v>1100</v>
      </c>
      <c r="B1103">
        <v>47.621000000000002</v>
      </c>
      <c r="C1103">
        <v>-117.52800000000001</v>
      </c>
    </row>
    <row r="1104" spans="1:3" x14ac:dyDescent="0.25">
      <c r="A1104" t="s">
        <v>1101</v>
      </c>
      <c r="B1104">
        <v>47.969000000000001</v>
      </c>
      <c r="C1104">
        <v>-117.42100000000001</v>
      </c>
    </row>
    <row r="1105" spans="1:3" x14ac:dyDescent="0.25">
      <c r="A1105" t="s">
        <v>1102</v>
      </c>
      <c r="B1105">
        <v>47.615000000000002</v>
      </c>
      <c r="C1105">
        <v>-117.65600000000001</v>
      </c>
    </row>
    <row r="1106" spans="1:3" x14ac:dyDescent="0.25">
      <c r="A1106" t="s">
        <v>1103</v>
      </c>
      <c r="B1106">
        <v>47.683</v>
      </c>
      <c r="C1106">
        <v>-117.321</v>
      </c>
    </row>
    <row r="1107" spans="1:3" x14ac:dyDescent="0.25">
      <c r="A1107" t="s">
        <v>1104</v>
      </c>
      <c r="B1107">
        <v>46.744</v>
      </c>
      <c r="C1107">
        <v>-117.10899999999999</v>
      </c>
    </row>
    <row r="1108" spans="1:3" x14ac:dyDescent="0.25">
      <c r="A1108" t="s">
        <v>1105</v>
      </c>
      <c r="B1108">
        <v>47.966999999999999</v>
      </c>
      <c r="C1108">
        <v>-117.417</v>
      </c>
    </row>
    <row r="1109" spans="1:3" x14ac:dyDescent="0.25">
      <c r="A1109" t="s">
        <v>1106</v>
      </c>
      <c r="B1109">
        <v>47.033999999999999</v>
      </c>
      <c r="C1109">
        <v>-120.53</v>
      </c>
    </row>
    <row r="1110" spans="1:3" x14ac:dyDescent="0.25">
      <c r="A1110" t="s">
        <v>1107</v>
      </c>
      <c r="B1110">
        <v>48.12</v>
      </c>
      <c r="C1110">
        <v>-123.498</v>
      </c>
    </row>
    <row r="1111" spans="1:3" x14ac:dyDescent="0.25">
      <c r="A1111" t="s">
        <v>1108</v>
      </c>
      <c r="B1111">
        <v>48.463999999999999</v>
      </c>
      <c r="C1111">
        <v>-119.517</v>
      </c>
    </row>
    <row r="1112" spans="1:3" x14ac:dyDescent="0.25">
      <c r="A1112" t="s">
        <v>1109</v>
      </c>
      <c r="B1112">
        <v>45.621000000000002</v>
      </c>
      <c r="C1112">
        <v>-122.657</v>
      </c>
    </row>
    <row r="1113" spans="1:3" x14ac:dyDescent="0.25">
      <c r="A1113" t="s">
        <v>1110</v>
      </c>
      <c r="B1113">
        <v>46.972999999999999</v>
      </c>
      <c r="C1113">
        <v>-122.90300000000001</v>
      </c>
    </row>
    <row r="1114" spans="1:3" x14ac:dyDescent="0.25">
      <c r="A1114" t="s">
        <v>1111</v>
      </c>
      <c r="B1114">
        <v>46.970999999999997</v>
      </c>
      <c r="C1114">
        <v>-123.937</v>
      </c>
    </row>
    <row r="1115" spans="1:3" x14ac:dyDescent="0.25">
      <c r="A1115" t="s">
        <v>1112</v>
      </c>
      <c r="B1115">
        <v>47.238</v>
      </c>
      <c r="C1115">
        <v>-123.148</v>
      </c>
    </row>
    <row r="1116" spans="1:3" x14ac:dyDescent="0.25">
      <c r="A1116" t="s">
        <v>1113</v>
      </c>
      <c r="B1116">
        <v>46.970999999999997</v>
      </c>
      <c r="C1116">
        <v>-123.937</v>
      </c>
    </row>
    <row r="1117" spans="1:3" x14ac:dyDescent="0.25">
      <c r="A1117" t="s">
        <v>1114</v>
      </c>
      <c r="B1117">
        <v>47.460999999999999</v>
      </c>
      <c r="C1117">
        <v>-122.31399999999999</v>
      </c>
    </row>
    <row r="1118" spans="1:3" x14ac:dyDescent="0.25">
      <c r="A1118" t="s">
        <v>1115</v>
      </c>
      <c r="B1118">
        <v>47.493000000000002</v>
      </c>
      <c r="C1118">
        <v>-122.214</v>
      </c>
    </row>
    <row r="1119" spans="1:3" x14ac:dyDescent="0.25">
      <c r="A1119" t="s">
        <v>1116</v>
      </c>
      <c r="B1119">
        <v>47.53</v>
      </c>
      <c r="C1119">
        <v>-122.301</v>
      </c>
    </row>
    <row r="1120" spans="1:3" x14ac:dyDescent="0.25">
      <c r="A1120" t="s">
        <v>1117</v>
      </c>
      <c r="B1120">
        <v>47.908000000000001</v>
      </c>
      <c r="C1120">
        <v>-122.28</v>
      </c>
    </row>
    <row r="1121" spans="1:3" x14ac:dyDescent="0.25">
      <c r="A1121" t="s">
        <v>1118</v>
      </c>
      <c r="B1121">
        <v>47.268000000000001</v>
      </c>
      <c r="C1121">
        <v>-122.57599999999999</v>
      </c>
    </row>
    <row r="1122" spans="1:3" x14ac:dyDescent="0.25">
      <c r="A1122" t="s">
        <v>1119</v>
      </c>
      <c r="B1122">
        <v>46.305999999999997</v>
      </c>
      <c r="C1122">
        <v>-119.304</v>
      </c>
    </row>
    <row r="1123" spans="1:3" x14ac:dyDescent="0.25">
      <c r="A1123" t="s">
        <v>1120</v>
      </c>
      <c r="B1123">
        <v>47.933999999999997</v>
      </c>
      <c r="C1123">
        <v>-124.56100000000001</v>
      </c>
    </row>
    <row r="1124" spans="1:3" x14ac:dyDescent="0.25">
      <c r="A1124" t="s">
        <v>1121</v>
      </c>
      <c r="B1124">
        <v>48.35</v>
      </c>
      <c r="C1124">
        <v>-122.65</v>
      </c>
    </row>
    <row r="1125" spans="1:3" x14ac:dyDescent="0.25">
      <c r="A1125" t="s">
        <v>1122</v>
      </c>
      <c r="B1125">
        <v>48.793999999999997</v>
      </c>
      <c r="C1125">
        <v>-122.53700000000001</v>
      </c>
    </row>
    <row r="1126" spans="1:3" x14ac:dyDescent="0.25">
      <c r="A1126" t="s">
        <v>1123</v>
      </c>
      <c r="B1126">
        <v>48.521999999999998</v>
      </c>
      <c r="C1126">
        <v>-123.023</v>
      </c>
    </row>
    <row r="1127" spans="1:3" x14ac:dyDescent="0.25">
      <c r="A1127" t="s">
        <v>1124</v>
      </c>
      <c r="B1127">
        <v>47.137999999999998</v>
      </c>
      <c r="C1127">
        <v>-122.476</v>
      </c>
    </row>
    <row r="1128" spans="1:3" x14ac:dyDescent="0.25">
      <c r="A1128" t="s">
        <v>1125</v>
      </c>
      <c r="B1128">
        <v>47.079000000000001</v>
      </c>
      <c r="C1128">
        <v>-122.581</v>
      </c>
    </row>
    <row r="1129" spans="1:3" x14ac:dyDescent="0.25">
      <c r="A1129" t="s">
        <v>1126</v>
      </c>
      <c r="B1129">
        <v>47.12</v>
      </c>
      <c r="C1129">
        <v>-122.55</v>
      </c>
    </row>
    <row r="1130" spans="1:3" x14ac:dyDescent="0.25">
      <c r="A1130" t="s">
        <v>1127</v>
      </c>
      <c r="B1130">
        <v>43.567</v>
      </c>
      <c r="C1130">
        <v>-90.15</v>
      </c>
    </row>
    <row r="1131" spans="1:3" x14ac:dyDescent="0.25">
      <c r="A1131" t="s">
        <v>1128</v>
      </c>
      <c r="B1131">
        <v>43.817</v>
      </c>
      <c r="C1131">
        <v>-91.2</v>
      </c>
    </row>
    <row r="1132" spans="1:3" x14ac:dyDescent="0.25">
      <c r="A1132" t="s">
        <v>1129</v>
      </c>
      <c r="B1132">
        <v>42.947000000000003</v>
      </c>
      <c r="C1132">
        <v>-87.897000000000006</v>
      </c>
    </row>
    <row r="1133" spans="1:3" x14ac:dyDescent="0.25">
      <c r="A1133" t="s">
        <v>1130</v>
      </c>
      <c r="B1133">
        <v>45.927999999999997</v>
      </c>
      <c r="C1133">
        <v>-89.718000000000004</v>
      </c>
    </row>
    <row r="1134" spans="1:3" x14ac:dyDescent="0.25">
      <c r="A1134" t="s">
        <v>1131</v>
      </c>
      <c r="B1134">
        <v>43.140999999999998</v>
      </c>
      <c r="C1134">
        <v>-89.344999999999999</v>
      </c>
    </row>
    <row r="1135" spans="1:3" x14ac:dyDescent="0.25">
      <c r="A1135" t="s">
        <v>1132</v>
      </c>
      <c r="B1135">
        <v>43.212000000000003</v>
      </c>
      <c r="C1135">
        <v>-90.180999999999997</v>
      </c>
    </row>
    <row r="1136" spans="1:3" x14ac:dyDescent="0.25">
      <c r="A1136" t="s">
        <v>1133</v>
      </c>
      <c r="B1136">
        <v>46.548999999999999</v>
      </c>
      <c r="C1136">
        <v>-90.918999999999997</v>
      </c>
    </row>
    <row r="1137" spans="1:3" x14ac:dyDescent="0.25">
      <c r="A1137" t="s">
        <v>1134</v>
      </c>
      <c r="B1137">
        <v>42.761000000000003</v>
      </c>
      <c r="C1137">
        <v>-87.813999999999993</v>
      </c>
    </row>
    <row r="1138" spans="1:3" x14ac:dyDescent="0.25">
      <c r="A1138" t="s">
        <v>1135</v>
      </c>
      <c r="B1138">
        <v>43.768999999999998</v>
      </c>
      <c r="C1138">
        <v>-87.850999999999999</v>
      </c>
    </row>
    <row r="1139" spans="1:3" x14ac:dyDescent="0.25">
      <c r="A1139" t="s">
        <v>1136</v>
      </c>
      <c r="B1139">
        <v>43.753999999999998</v>
      </c>
      <c r="C1139">
        <v>-91.256</v>
      </c>
    </row>
    <row r="1140" spans="1:3" x14ac:dyDescent="0.25">
      <c r="A1140" t="s">
        <v>1137</v>
      </c>
      <c r="B1140">
        <v>44.865000000000002</v>
      </c>
      <c r="C1140">
        <v>-91.484999999999999</v>
      </c>
    </row>
    <row r="1141" spans="1:3" x14ac:dyDescent="0.25">
      <c r="A1141" t="s">
        <v>1138</v>
      </c>
      <c r="B1141">
        <v>43.938000000000002</v>
      </c>
      <c r="C1141">
        <v>-90.268000000000001</v>
      </c>
    </row>
    <row r="1142" spans="1:3" x14ac:dyDescent="0.25">
      <c r="A1142" t="s">
        <v>1139</v>
      </c>
      <c r="B1142">
        <v>43.155999999999999</v>
      </c>
      <c r="C1142">
        <v>-90.677999999999997</v>
      </c>
    </row>
    <row r="1143" spans="1:3" x14ac:dyDescent="0.25">
      <c r="A1143" t="s">
        <v>1140</v>
      </c>
      <c r="B1143">
        <v>44.512999999999998</v>
      </c>
      <c r="C1143">
        <v>-88.12</v>
      </c>
    </row>
    <row r="1144" spans="1:3" x14ac:dyDescent="0.25">
      <c r="A1144" t="s">
        <v>1141</v>
      </c>
      <c r="B1144">
        <v>44.359000000000002</v>
      </c>
      <c r="C1144">
        <v>-89.837000000000003</v>
      </c>
    </row>
    <row r="1145" spans="1:3" x14ac:dyDescent="0.25">
      <c r="A1145" t="s">
        <v>1142</v>
      </c>
      <c r="B1145">
        <v>43.984000000000002</v>
      </c>
      <c r="C1145">
        <v>-88.557000000000002</v>
      </c>
    </row>
    <row r="1146" spans="1:3" x14ac:dyDescent="0.25">
      <c r="A1146" t="s">
        <v>1143</v>
      </c>
      <c r="B1146">
        <v>44.256999999999998</v>
      </c>
      <c r="C1146">
        <v>-88.516999999999996</v>
      </c>
    </row>
    <row r="1147" spans="1:3" x14ac:dyDescent="0.25">
      <c r="A1147" t="s">
        <v>1144</v>
      </c>
      <c r="B1147">
        <v>44.929000000000002</v>
      </c>
      <c r="C1147">
        <v>-89.626999999999995</v>
      </c>
    </row>
    <row r="1148" spans="1:3" x14ac:dyDescent="0.25">
      <c r="A1148" t="s">
        <v>1145</v>
      </c>
      <c r="B1148">
        <v>44.929000000000002</v>
      </c>
      <c r="C1148">
        <v>-89.626999999999995</v>
      </c>
    </row>
    <row r="1149" spans="1:3" x14ac:dyDescent="0.25">
      <c r="A1149" t="s">
        <v>1146</v>
      </c>
      <c r="B1149">
        <v>44.929000000000002</v>
      </c>
      <c r="C1149">
        <v>-89.626999999999995</v>
      </c>
    </row>
    <row r="1150" spans="1:3" x14ac:dyDescent="0.25">
      <c r="A1150" t="s">
        <v>1147</v>
      </c>
      <c r="B1150">
        <v>44.777999999999999</v>
      </c>
      <c r="C1150">
        <v>-89.667000000000002</v>
      </c>
    </row>
    <row r="1151" spans="1:3" x14ac:dyDescent="0.25">
      <c r="A1151" t="s">
        <v>1148</v>
      </c>
      <c r="B1151">
        <v>45.418999999999997</v>
      </c>
      <c r="C1151">
        <v>-91.772999999999996</v>
      </c>
    </row>
    <row r="1152" spans="1:3" x14ac:dyDescent="0.25">
      <c r="A1152" t="s">
        <v>1149</v>
      </c>
      <c r="B1152">
        <v>42.594999999999999</v>
      </c>
      <c r="C1152">
        <v>-87.938000000000002</v>
      </c>
    </row>
    <row r="1153" spans="1:3" x14ac:dyDescent="0.25">
      <c r="A1153" t="s">
        <v>1150</v>
      </c>
      <c r="B1153">
        <v>43.77</v>
      </c>
      <c r="C1153">
        <v>-88.486000000000004</v>
      </c>
    </row>
    <row r="1154" spans="1:3" x14ac:dyDescent="0.25">
      <c r="A1154" t="s">
        <v>1151</v>
      </c>
      <c r="B1154">
        <v>46.026000000000003</v>
      </c>
      <c r="C1154">
        <v>-91.444000000000003</v>
      </c>
    </row>
    <row r="1155" spans="1:3" x14ac:dyDescent="0.25">
      <c r="A1155" t="s">
        <v>1152</v>
      </c>
      <c r="B1155">
        <v>44.637</v>
      </c>
      <c r="C1155">
        <v>-90.188999999999993</v>
      </c>
    </row>
    <row r="1156" spans="1:3" x14ac:dyDescent="0.25">
      <c r="A1156" t="s">
        <v>1153</v>
      </c>
      <c r="B1156">
        <v>45.631</v>
      </c>
      <c r="C1156">
        <v>-89.465000000000003</v>
      </c>
    </row>
    <row r="1157" spans="1:3" x14ac:dyDescent="0.25">
      <c r="A1157" t="s">
        <v>1154</v>
      </c>
      <c r="B1157">
        <v>37.795000000000002</v>
      </c>
      <c r="C1157">
        <v>-81.125</v>
      </c>
    </row>
    <row r="1158" spans="1:3" x14ac:dyDescent="0.25">
      <c r="A1158" t="s">
        <v>1155</v>
      </c>
      <c r="B1158">
        <v>37.295999999999999</v>
      </c>
      <c r="C1158">
        <v>-81.207999999999998</v>
      </c>
    </row>
    <row r="1159" spans="1:3" x14ac:dyDescent="0.25">
      <c r="A1159" t="s">
        <v>1156</v>
      </c>
      <c r="B1159">
        <v>37.857999999999997</v>
      </c>
      <c r="C1159">
        <v>-80.399000000000001</v>
      </c>
    </row>
    <row r="1160" spans="1:3" x14ac:dyDescent="0.25">
      <c r="A1160" t="s">
        <v>1157</v>
      </c>
      <c r="B1160">
        <v>38.378999999999998</v>
      </c>
      <c r="C1160">
        <v>-81.590999999999994</v>
      </c>
    </row>
    <row r="1161" spans="1:3" x14ac:dyDescent="0.25">
      <c r="A1161" t="s">
        <v>1158</v>
      </c>
      <c r="B1161">
        <v>38.884999999999998</v>
      </c>
      <c r="C1161">
        <v>-79.852999999999994</v>
      </c>
    </row>
    <row r="1162" spans="1:3" x14ac:dyDescent="0.25">
      <c r="A1162" t="s">
        <v>1159</v>
      </c>
      <c r="B1162">
        <v>39.295999999999999</v>
      </c>
      <c r="C1162">
        <v>-80.228999999999999</v>
      </c>
    </row>
    <row r="1163" spans="1:3" x14ac:dyDescent="0.25">
      <c r="A1163" t="s">
        <v>1160</v>
      </c>
      <c r="B1163">
        <v>39.643000000000001</v>
      </c>
      <c r="C1163">
        <v>-79.915999999999997</v>
      </c>
    </row>
    <row r="1164" spans="1:3" x14ac:dyDescent="0.25">
      <c r="A1164" t="s">
        <v>1161</v>
      </c>
      <c r="B1164">
        <v>39.402000000000001</v>
      </c>
      <c r="C1164">
        <v>-77.983999999999995</v>
      </c>
    </row>
    <row r="1165" spans="1:3" x14ac:dyDescent="0.25">
      <c r="A1165" t="s">
        <v>1162</v>
      </c>
      <c r="B1165">
        <v>38.381999999999998</v>
      </c>
      <c r="C1165">
        <v>-82.555000000000007</v>
      </c>
    </row>
    <row r="1166" spans="1:3" x14ac:dyDescent="0.25">
      <c r="A1166" t="s">
        <v>1163</v>
      </c>
      <c r="B1166">
        <v>40.176000000000002</v>
      </c>
      <c r="C1166">
        <v>-80.647000000000006</v>
      </c>
    </row>
    <row r="1167" spans="1:3" x14ac:dyDescent="0.25">
      <c r="A1167" t="s">
        <v>1164</v>
      </c>
      <c r="B1167">
        <v>41.158000000000001</v>
      </c>
      <c r="C1167">
        <v>-104.807</v>
      </c>
    </row>
    <row r="1168" spans="1:3" x14ac:dyDescent="0.25">
      <c r="A1168" t="s">
        <v>1165</v>
      </c>
      <c r="B1168">
        <v>41.313000000000002</v>
      </c>
      <c r="C1168">
        <v>-105.67400000000001</v>
      </c>
    </row>
    <row r="1169" spans="1:3" x14ac:dyDescent="0.25">
      <c r="A1169" t="s">
        <v>1166</v>
      </c>
      <c r="B1169">
        <v>42.796999999999997</v>
      </c>
      <c r="C1169">
        <v>-105.386</v>
      </c>
    </row>
    <row r="1170" spans="1:3" x14ac:dyDescent="0.25">
      <c r="A1170" t="s">
        <v>1167</v>
      </c>
      <c r="B1170">
        <v>42.898000000000003</v>
      </c>
      <c r="C1170">
        <v>-106.473</v>
      </c>
    </row>
    <row r="1171" spans="1:3" x14ac:dyDescent="0.25">
      <c r="A1171" t="s">
        <v>1168</v>
      </c>
      <c r="B1171">
        <v>41.594000000000001</v>
      </c>
      <c r="C1171">
        <v>-109.065</v>
      </c>
    </row>
    <row r="1172" spans="1:3" x14ac:dyDescent="0.25">
      <c r="A1172" t="s">
        <v>1169</v>
      </c>
      <c r="B1172">
        <v>41.594000000000001</v>
      </c>
      <c r="C1172">
        <v>-109.065</v>
      </c>
    </row>
    <row r="1173" spans="1:3" x14ac:dyDescent="0.25">
      <c r="A1173" t="s">
        <v>1170</v>
      </c>
      <c r="B1173">
        <v>41.594000000000001</v>
      </c>
      <c r="C1173">
        <v>-109.065</v>
      </c>
    </row>
    <row r="1174" spans="1:3" x14ac:dyDescent="0.25">
      <c r="A1174" t="s">
        <v>1171</v>
      </c>
      <c r="B1174">
        <v>41.805999999999997</v>
      </c>
      <c r="C1174">
        <v>-107.2</v>
      </c>
    </row>
    <row r="1175" spans="1:3" x14ac:dyDescent="0.25">
      <c r="A1175" t="s">
        <v>1172</v>
      </c>
      <c r="B1175">
        <v>42.817</v>
      </c>
      <c r="C1175">
        <v>-108.733</v>
      </c>
    </row>
    <row r="1176" spans="1:3" x14ac:dyDescent="0.25">
      <c r="A1176" t="s">
        <v>1173</v>
      </c>
      <c r="B1176">
        <v>42.064999999999998</v>
      </c>
      <c r="C1176">
        <v>-104.15300000000001</v>
      </c>
    </row>
    <row r="1177" spans="1:3" x14ac:dyDescent="0.25">
      <c r="A1177" t="s">
        <v>1174</v>
      </c>
      <c r="B1177">
        <v>43.064</v>
      </c>
      <c r="C1177">
        <v>-108.459</v>
      </c>
    </row>
    <row r="1178" spans="1:3" x14ac:dyDescent="0.25">
      <c r="A1178" t="s">
        <v>1175</v>
      </c>
      <c r="B1178">
        <v>41.273000000000003</v>
      </c>
      <c r="C1178">
        <v>-111.03100000000001</v>
      </c>
    </row>
    <row r="1179" spans="1:3" x14ac:dyDescent="0.25">
      <c r="A1179" t="s">
        <v>1176</v>
      </c>
      <c r="B1179">
        <v>44.338999999999999</v>
      </c>
      <c r="C1179">
        <v>-105.542</v>
      </c>
    </row>
    <row r="1180" spans="1:3" x14ac:dyDescent="0.25">
      <c r="A1180" t="s">
        <v>1177</v>
      </c>
      <c r="B1180">
        <v>44.381</v>
      </c>
      <c r="C1180">
        <v>-106.721</v>
      </c>
    </row>
    <row r="1181" spans="1:3" x14ac:dyDescent="0.25">
      <c r="A1181" t="s">
        <v>1178</v>
      </c>
      <c r="B1181">
        <v>44.774000000000001</v>
      </c>
      <c r="C1181">
        <v>-106.976</v>
      </c>
    </row>
    <row r="1182" spans="1:3" x14ac:dyDescent="0.25">
      <c r="A1182" t="s">
        <v>1179</v>
      </c>
      <c r="B1182">
        <v>43.966000000000001</v>
      </c>
      <c r="C1182">
        <v>-107.95099999999999</v>
      </c>
    </row>
    <row r="1183" spans="1:3" x14ac:dyDescent="0.25">
      <c r="A1183" t="s">
        <v>1180</v>
      </c>
      <c r="B1183">
        <v>44.517000000000003</v>
      </c>
      <c r="C1183">
        <v>-108.08199999999999</v>
      </c>
    </row>
    <row r="1184" spans="1:3" x14ac:dyDescent="0.25">
      <c r="A1184" t="s">
        <v>1181</v>
      </c>
      <c r="B1184">
        <v>41.8</v>
      </c>
      <c r="C1184">
        <v>-107.2</v>
      </c>
    </row>
    <row r="1185" spans="1:3" x14ac:dyDescent="0.25">
      <c r="A1185" t="s">
        <v>1182</v>
      </c>
      <c r="B1185">
        <v>42.584000000000003</v>
      </c>
      <c r="C1185">
        <v>-110.108</v>
      </c>
    </row>
    <row r="1186" spans="1:3" x14ac:dyDescent="0.25">
      <c r="A1186" t="s">
        <v>1183</v>
      </c>
      <c r="B1186">
        <v>43.067</v>
      </c>
      <c r="C1186">
        <v>-108.467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7"/>
  <sheetViews>
    <sheetView tabSelected="1" workbookViewId="0">
      <selection activeCell="L14" sqref="L14"/>
    </sheetView>
  </sheetViews>
  <sheetFormatPr defaultRowHeight="15" x14ac:dyDescent="0.25"/>
  <cols>
    <col min="1" max="1" width="10.85546875" bestFit="1" customWidth="1"/>
    <col min="2" max="2" width="8.28515625" bestFit="1" customWidth="1"/>
    <col min="3" max="3" width="9.85546875" bestFit="1" customWidth="1"/>
    <col min="4" max="4" width="10" bestFit="1" customWidth="1"/>
    <col min="5" max="5" width="7.28515625" hidden="1" customWidth="1"/>
    <col min="6" max="6" width="21.5703125" style="7" bestFit="1" customWidth="1"/>
    <col min="7" max="7" width="0" hidden="1" customWidth="1"/>
    <col min="8" max="8" width="12" style="5" hidden="1" customWidth="1"/>
  </cols>
  <sheetData>
    <row r="1" spans="1:16" x14ac:dyDescent="0.25">
      <c r="A1" s="10" t="s">
        <v>1184</v>
      </c>
      <c r="B1" s="10" t="s">
        <v>1185</v>
      </c>
      <c r="C1" s="10" t="s">
        <v>1186</v>
      </c>
      <c r="D1" s="10" t="s">
        <v>1187</v>
      </c>
      <c r="E1" s="10" t="s">
        <v>2306</v>
      </c>
      <c r="F1" s="11" t="s">
        <v>2341</v>
      </c>
      <c r="G1" s="10" t="s">
        <v>2342</v>
      </c>
      <c r="H1" s="10" t="s">
        <v>2343</v>
      </c>
      <c r="I1" s="9" t="s">
        <v>2333</v>
      </c>
      <c r="J1" s="9" t="s">
        <v>2334</v>
      </c>
      <c r="K1" s="9" t="s">
        <v>2335</v>
      </c>
      <c r="L1" s="9" t="s">
        <v>2336</v>
      </c>
      <c r="M1" s="9" t="s">
        <v>2337</v>
      </c>
      <c r="N1" s="9" t="s">
        <v>2338</v>
      </c>
      <c r="O1" s="9" t="s">
        <v>2339</v>
      </c>
      <c r="P1" s="9" t="s">
        <v>2340</v>
      </c>
    </row>
    <row r="2" spans="1:16" x14ac:dyDescent="0.25">
      <c r="A2" t="s">
        <v>348</v>
      </c>
      <c r="B2" s="5">
        <v>19.722999999999999</v>
      </c>
      <c r="C2" s="5">
        <v>-155.05099999999999</v>
      </c>
      <c r="D2" t="s">
        <v>2305</v>
      </c>
      <c r="E2">
        <v>1</v>
      </c>
      <c r="F2" s="7">
        <v>0</v>
      </c>
      <c r="G2">
        <f>21.5/2</f>
        <v>10.75</v>
      </c>
      <c r="H2" s="5">
        <f t="shared" ref="H2:H63" si="0">3.14*G2*G2/8</f>
        <v>45.358281250000005</v>
      </c>
      <c r="I2">
        <v>0</v>
      </c>
      <c r="J2">
        <v>0</v>
      </c>
      <c r="K2">
        <v>0</v>
      </c>
      <c r="L2">
        <f>0.4/H2</f>
        <v>8.818676302907752E-3</v>
      </c>
      <c r="M2">
        <v>0</v>
      </c>
      <c r="N2">
        <f>0.8/H2</f>
        <v>1.7637352605815504E-2</v>
      </c>
      <c r="O2">
        <v>0</v>
      </c>
      <c r="P2">
        <v>0</v>
      </c>
    </row>
    <row r="3" spans="1:16" x14ac:dyDescent="0.25">
      <c r="A3" t="s">
        <v>342</v>
      </c>
      <c r="B3" s="5">
        <v>20.917000000000002</v>
      </c>
      <c r="C3" s="5">
        <v>-156.68299999999999</v>
      </c>
      <c r="D3" s="5" t="s">
        <v>1197</v>
      </c>
      <c r="H3" s="5">
        <f t="shared" si="0"/>
        <v>0</v>
      </c>
    </row>
    <row r="4" spans="1:16" x14ac:dyDescent="0.25">
      <c r="A4" t="s">
        <v>334</v>
      </c>
      <c r="B4" s="5">
        <v>23.867000000000001</v>
      </c>
      <c r="C4" s="5">
        <v>-166.28299999999999</v>
      </c>
      <c r="D4" s="5" t="s">
        <v>2326</v>
      </c>
      <c r="H4" s="5">
        <f t="shared" si="0"/>
        <v>0</v>
      </c>
    </row>
    <row r="5" spans="1:16" x14ac:dyDescent="0.25">
      <c r="A5" t="s">
        <v>445</v>
      </c>
      <c r="B5" s="5">
        <v>28</v>
      </c>
      <c r="C5" s="5">
        <v>-93</v>
      </c>
      <c r="D5" s="5" t="s">
        <v>1345</v>
      </c>
      <c r="E5" s="5" t="s">
        <v>1197</v>
      </c>
      <c r="H5" s="5">
        <f t="shared" si="0"/>
        <v>0</v>
      </c>
    </row>
    <row r="6" spans="1:16" x14ac:dyDescent="0.25">
      <c r="A6" t="s">
        <v>452</v>
      </c>
      <c r="B6" s="5">
        <v>29.117000000000001</v>
      </c>
      <c r="C6" s="5">
        <v>-91.867000000000004</v>
      </c>
      <c r="D6" s="5" t="s">
        <v>1425</v>
      </c>
      <c r="E6" s="5" t="s">
        <v>1197</v>
      </c>
      <c r="H6" s="5">
        <f t="shared" si="0"/>
        <v>0</v>
      </c>
    </row>
    <row r="7" spans="1:16" x14ac:dyDescent="0.25">
      <c r="A7" t="s">
        <v>439</v>
      </c>
      <c r="B7" s="5">
        <v>29.35</v>
      </c>
      <c r="C7" s="5">
        <v>-89.408000000000001</v>
      </c>
      <c r="D7" s="5" t="s">
        <v>1331</v>
      </c>
      <c r="E7" s="5" t="s">
        <v>1197</v>
      </c>
      <c r="H7" s="5">
        <f t="shared" si="0"/>
        <v>0</v>
      </c>
    </row>
    <row r="8" spans="1:16" x14ac:dyDescent="0.25">
      <c r="A8" t="s">
        <v>1002</v>
      </c>
      <c r="B8" s="5">
        <v>30.317</v>
      </c>
      <c r="C8" s="5">
        <v>-97.766999999999996</v>
      </c>
      <c r="D8" s="3" t="s">
        <v>2319</v>
      </c>
      <c r="E8" s="5" t="s">
        <v>1197</v>
      </c>
      <c r="H8" s="5">
        <f t="shared" si="0"/>
        <v>0</v>
      </c>
    </row>
    <row r="9" spans="1:16" x14ac:dyDescent="0.25">
      <c r="A9" t="s">
        <v>243</v>
      </c>
      <c r="B9" s="1">
        <v>30.417000000000002</v>
      </c>
      <c r="C9" s="1">
        <v>-86.667000000000002</v>
      </c>
      <c r="D9" s="5" t="s">
        <v>1205</v>
      </c>
      <c r="E9" s="5" t="s">
        <v>1197</v>
      </c>
      <c r="H9" s="5">
        <f t="shared" si="0"/>
        <v>0</v>
      </c>
    </row>
    <row r="10" spans="1:16" x14ac:dyDescent="0.25">
      <c r="A10" t="s">
        <v>454</v>
      </c>
      <c r="B10" s="5">
        <v>31.15</v>
      </c>
      <c r="C10" s="5">
        <v>-92.966999999999999</v>
      </c>
      <c r="D10" s="5" t="s">
        <v>1452</v>
      </c>
      <c r="E10" s="5" t="s">
        <v>1197</v>
      </c>
      <c r="H10" s="5">
        <f t="shared" si="0"/>
        <v>0</v>
      </c>
    </row>
    <row r="11" spans="1:16" x14ac:dyDescent="0.25">
      <c r="A11" t="s">
        <v>308</v>
      </c>
      <c r="B11" s="5">
        <v>32.033000000000001</v>
      </c>
      <c r="C11" s="5">
        <v>-81.667000000000002</v>
      </c>
      <c r="D11" s="5" t="s">
        <v>1204</v>
      </c>
      <c r="E11" s="5" t="s">
        <v>1197</v>
      </c>
      <c r="H11" s="5">
        <f t="shared" si="0"/>
        <v>0</v>
      </c>
    </row>
    <row r="12" spans="1:16" x14ac:dyDescent="0.25">
      <c r="A12" t="s">
        <v>708</v>
      </c>
      <c r="B12" s="5">
        <v>32.067</v>
      </c>
      <c r="C12" s="5">
        <v>-106.15</v>
      </c>
      <c r="D12" s="5" t="s">
        <v>1196</v>
      </c>
      <c r="E12" t="s">
        <v>1197</v>
      </c>
      <c r="H12" s="5">
        <f t="shared" si="0"/>
        <v>0</v>
      </c>
    </row>
    <row r="13" spans="1:16" x14ac:dyDescent="0.25">
      <c r="A13" t="s">
        <v>718</v>
      </c>
      <c r="B13" s="5">
        <v>32.383000000000003</v>
      </c>
      <c r="C13" s="5">
        <v>-106.483</v>
      </c>
      <c r="D13" s="5" t="s">
        <v>1430</v>
      </c>
      <c r="E13" s="5" t="s">
        <v>1197</v>
      </c>
      <c r="H13" s="5">
        <f t="shared" si="0"/>
        <v>0</v>
      </c>
    </row>
    <row r="14" spans="1:16" x14ac:dyDescent="0.25">
      <c r="A14" t="s">
        <v>195</v>
      </c>
      <c r="B14" s="5">
        <v>32.616999999999997</v>
      </c>
      <c r="C14" s="5">
        <v>-116.467</v>
      </c>
      <c r="D14" s="5" t="s">
        <v>2269</v>
      </c>
      <c r="E14" s="5" t="s">
        <v>1197</v>
      </c>
      <c r="H14" s="5">
        <f t="shared" si="0"/>
        <v>0</v>
      </c>
    </row>
    <row r="15" spans="1:16" x14ac:dyDescent="0.25">
      <c r="A15" t="s">
        <v>735</v>
      </c>
      <c r="B15" s="5">
        <v>32.633000000000003</v>
      </c>
      <c r="C15" s="5">
        <v>-106.4</v>
      </c>
      <c r="D15" s="5" t="s">
        <v>1197</v>
      </c>
      <c r="E15" s="5" t="s">
        <v>1197</v>
      </c>
      <c r="H15" s="5">
        <f t="shared" si="0"/>
        <v>0</v>
      </c>
    </row>
    <row r="16" spans="1:16" x14ac:dyDescent="0.25">
      <c r="A16" t="s">
        <v>911</v>
      </c>
      <c r="B16" s="5">
        <v>32.85</v>
      </c>
      <c r="C16" s="5">
        <v>-79.933000000000007</v>
      </c>
      <c r="D16" s="5" t="s">
        <v>1260</v>
      </c>
      <c r="E16" s="5" t="s">
        <v>1197</v>
      </c>
      <c r="H16" s="5">
        <f t="shared" si="0"/>
        <v>0</v>
      </c>
    </row>
    <row r="17" spans="1:8" x14ac:dyDescent="0.25">
      <c r="A17" t="s">
        <v>713</v>
      </c>
      <c r="B17" s="5">
        <v>33.35</v>
      </c>
      <c r="C17" s="5">
        <v>-105.667</v>
      </c>
      <c r="D17" s="5" t="s">
        <v>1197</v>
      </c>
      <c r="E17" s="5" t="s">
        <v>1197</v>
      </c>
      <c r="H17" s="5">
        <f t="shared" si="0"/>
        <v>0</v>
      </c>
    </row>
    <row r="18" spans="1:8" x14ac:dyDescent="0.25">
      <c r="A18" t="s">
        <v>123</v>
      </c>
      <c r="B18" s="5">
        <v>33.65</v>
      </c>
      <c r="C18" s="5">
        <v>-118</v>
      </c>
      <c r="D18" s="5" t="s">
        <v>1489</v>
      </c>
      <c r="E18" s="5" t="s">
        <v>1197</v>
      </c>
      <c r="H18" s="5">
        <f t="shared" si="0"/>
        <v>0</v>
      </c>
    </row>
    <row r="19" spans="1:8" x14ac:dyDescent="0.25">
      <c r="A19" t="s">
        <v>107</v>
      </c>
      <c r="B19" s="5">
        <v>33.700000000000003</v>
      </c>
      <c r="C19" s="5">
        <v>-117.833</v>
      </c>
      <c r="D19" s="5" t="s">
        <v>1473</v>
      </c>
      <c r="E19" s="5" t="s">
        <v>1197</v>
      </c>
      <c r="H19" s="5">
        <f t="shared" si="0"/>
        <v>0</v>
      </c>
    </row>
    <row r="20" spans="1:8" x14ac:dyDescent="0.25">
      <c r="A20" t="s">
        <v>49</v>
      </c>
      <c r="B20" s="5">
        <v>33.866999999999997</v>
      </c>
      <c r="C20" s="5">
        <v>-114.383</v>
      </c>
      <c r="D20" s="5" t="s">
        <v>1199</v>
      </c>
      <c r="E20" s="5" t="s">
        <v>1197</v>
      </c>
      <c r="H20" s="5">
        <f t="shared" si="0"/>
        <v>0</v>
      </c>
    </row>
    <row r="21" spans="1:8" x14ac:dyDescent="0.25">
      <c r="A21" t="s">
        <v>734</v>
      </c>
      <c r="B21" s="5">
        <v>33.9</v>
      </c>
      <c r="C21" s="5">
        <v>-106.4</v>
      </c>
      <c r="D21" s="5" t="s">
        <v>2274</v>
      </c>
      <c r="E21" s="5" t="s">
        <v>1197</v>
      </c>
      <c r="H21" s="5">
        <f t="shared" si="0"/>
        <v>0</v>
      </c>
    </row>
    <row r="22" spans="1:8" x14ac:dyDescent="0.25">
      <c r="A22" t="s">
        <v>714</v>
      </c>
      <c r="B22" s="5">
        <v>34.1</v>
      </c>
      <c r="C22" s="5">
        <v>-105.667</v>
      </c>
      <c r="D22" s="5" t="s">
        <v>1426</v>
      </c>
      <c r="E22" s="5" t="s">
        <v>1197</v>
      </c>
      <c r="H22" s="5">
        <f t="shared" si="0"/>
        <v>0</v>
      </c>
    </row>
    <row r="23" spans="1:8" x14ac:dyDescent="0.25">
      <c r="A23" t="s">
        <v>732</v>
      </c>
      <c r="B23" s="5">
        <v>34.299999999999997</v>
      </c>
      <c r="C23" s="5">
        <v>-103.8</v>
      </c>
      <c r="D23" s="5" t="s">
        <v>2259</v>
      </c>
      <c r="E23" s="5" t="s">
        <v>1197</v>
      </c>
      <c r="H23" s="5">
        <f t="shared" si="0"/>
        <v>0</v>
      </c>
    </row>
    <row r="24" spans="1:8" x14ac:dyDescent="0.25">
      <c r="A24" t="s">
        <v>42</v>
      </c>
      <c r="B24" s="5">
        <v>34.549999999999997</v>
      </c>
      <c r="C24" s="5">
        <v>-93.582999999999998</v>
      </c>
      <c r="D24" s="5" t="s">
        <v>1568</v>
      </c>
      <c r="E24" s="5" t="s">
        <v>1197</v>
      </c>
      <c r="H24" s="5">
        <f t="shared" si="0"/>
        <v>0</v>
      </c>
    </row>
    <row r="25" spans="1:8" x14ac:dyDescent="0.25">
      <c r="A25" t="s">
        <v>845</v>
      </c>
      <c r="B25" s="5">
        <v>34.899000000000001</v>
      </c>
      <c r="C25" s="5">
        <v>-95.783000000000001</v>
      </c>
      <c r="D25" s="5" t="s">
        <v>1596</v>
      </c>
      <c r="E25" s="5" t="s">
        <v>1197</v>
      </c>
      <c r="H25" s="5">
        <f t="shared" si="0"/>
        <v>0</v>
      </c>
    </row>
    <row r="26" spans="1:8" x14ac:dyDescent="0.25">
      <c r="A26" t="s">
        <v>731</v>
      </c>
      <c r="B26" s="5">
        <v>34.933</v>
      </c>
      <c r="C26" s="5">
        <v>-105.583</v>
      </c>
      <c r="D26" s="5" t="s">
        <v>2258</v>
      </c>
      <c r="E26" s="5" t="s">
        <v>1197</v>
      </c>
      <c r="H26" s="5">
        <f t="shared" si="0"/>
        <v>0</v>
      </c>
    </row>
    <row r="27" spans="1:8" x14ac:dyDescent="0.25">
      <c r="A27" t="s">
        <v>710</v>
      </c>
      <c r="B27" s="5">
        <v>35.003</v>
      </c>
      <c r="C27" s="5">
        <v>-105.663</v>
      </c>
      <c r="D27" s="5" t="s">
        <v>1422</v>
      </c>
      <c r="E27" s="5" t="s">
        <v>1197</v>
      </c>
      <c r="H27" s="5">
        <f t="shared" si="0"/>
        <v>0</v>
      </c>
    </row>
    <row r="28" spans="1:8" x14ac:dyDescent="0.25">
      <c r="A28" t="s">
        <v>138</v>
      </c>
      <c r="B28" s="5">
        <v>35.665999999999997</v>
      </c>
      <c r="C28" s="5">
        <v>-121.285</v>
      </c>
      <c r="D28" s="5" t="s">
        <v>1634</v>
      </c>
      <c r="E28" s="5" t="s">
        <v>1197</v>
      </c>
      <c r="H28" s="5">
        <f t="shared" si="0"/>
        <v>0</v>
      </c>
    </row>
    <row r="29" spans="1:8" x14ac:dyDescent="0.25">
      <c r="A29" t="s">
        <v>81</v>
      </c>
      <c r="B29" s="5">
        <v>36</v>
      </c>
      <c r="C29" s="5">
        <v>-121.233</v>
      </c>
      <c r="D29" s="5" t="s">
        <v>1188</v>
      </c>
      <c r="E29" s="5" t="s">
        <v>1197</v>
      </c>
      <c r="H29" s="5">
        <f t="shared" si="0"/>
        <v>0</v>
      </c>
    </row>
    <row r="30" spans="1:8" x14ac:dyDescent="0.25">
      <c r="A30" t="s">
        <v>86</v>
      </c>
      <c r="B30" s="5">
        <v>36.283000000000001</v>
      </c>
      <c r="C30" s="5">
        <v>-116.35</v>
      </c>
      <c r="D30" s="5" t="s">
        <v>1203</v>
      </c>
      <c r="E30" s="5" t="s">
        <v>1197</v>
      </c>
      <c r="H30" s="5">
        <f t="shared" si="0"/>
        <v>0</v>
      </c>
    </row>
    <row r="31" spans="1:8" x14ac:dyDescent="0.25">
      <c r="A31" t="s">
        <v>755</v>
      </c>
      <c r="B31" s="1">
        <v>36.533000000000001</v>
      </c>
      <c r="C31" s="1">
        <v>-115.667</v>
      </c>
      <c r="D31" s="5" t="s">
        <v>2331</v>
      </c>
      <c r="E31" t="s">
        <v>1197</v>
      </c>
      <c r="H31" s="5">
        <f t="shared" si="0"/>
        <v>0</v>
      </c>
    </row>
    <row r="32" spans="1:8" x14ac:dyDescent="0.25">
      <c r="A32" t="s">
        <v>736</v>
      </c>
      <c r="B32" s="1">
        <v>36.533000000000001</v>
      </c>
      <c r="C32" s="1">
        <v>-115.56699999999999</v>
      </c>
      <c r="D32" s="5" t="s">
        <v>1193</v>
      </c>
      <c r="E32" s="5" t="s">
        <v>1197</v>
      </c>
      <c r="H32" s="5">
        <f t="shared" si="0"/>
        <v>0</v>
      </c>
    </row>
    <row r="33" spans="1:8" x14ac:dyDescent="0.25">
      <c r="A33" t="s">
        <v>207</v>
      </c>
      <c r="B33" s="5">
        <v>37.283000000000001</v>
      </c>
      <c r="C33" s="5">
        <v>-102.614</v>
      </c>
      <c r="D33" s="5" t="s">
        <v>1749</v>
      </c>
      <c r="E33" s="5" t="s">
        <v>1197</v>
      </c>
      <c r="H33" s="5">
        <f t="shared" si="0"/>
        <v>0</v>
      </c>
    </row>
    <row r="34" spans="1:8" x14ac:dyDescent="0.25">
      <c r="A34" t="s">
        <v>198</v>
      </c>
      <c r="B34" s="5">
        <v>37.450000000000003</v>
      </c>
      <c r="C34" s="5">
        <v>-106.8</v>
      </c>
      <c r="D34" s="5" t="s">
        <v>1264</v>
      </c>
      <c r="E34" s="5" t="s">
        <v>1197</v>
      </c>
      <c r="H34" s="5">
        <f t="shared" si="0"/>
        <v>0</v>
      </c>
    </row>
    <row r="35" spans="1:8" x14ac:dyDescent="0.25">
      <c r="A35" t="s">
        <v>169</v>
      </c>
      <c r="B35" s="5">
        <v>38.067</v>
      </c>
      <c r="C35" s="5">
        <v>-122.5</v>
      </c>
      <c r="D35" s="5" t="s">
        <v>1803</v>
      </c>
      <c r="E35" s="5" t="s">
        <v>1197</v>
      </c>
      <c r="H35" s="5">
        <f t="shared" si="0"/>
        <v>0</v>
      </c>
    </row>
    <row r="36" spans="1:8" x14ac:dyDescent="0.25">
      <c r="A36" t="s">
        <v>480</v>
      </c>
      <c r="B36" s="5">
        <v>38.982999999999997</v>
      </c>
      <c r="C36" s="5">
        <v>-76.483000000000004</v>
      </c>
      <c r="D36" s="5" t="s">
        <v>1281</v>
      </c>
      <c r="E36" s="5" t="s">
        <v>1197</v>
      </c>
      <c r="H36" s="5">
        <f t="shared" si="0"/>
        <v>0</v>
      </c>
    </row>
    <row r="37" spans="1:8" x14ac:dyDescent="0.25">
      <c r="A37" t="s">
        <v>211</v>
      </c>
      <c r="B37" s="5">
        <v>39.25</v>
      </c>
      <c r="C37" s="5">
        <v>-106.3</v>
      </c>
      <c r="D37" s="5" t="s">
        <v>2322</v>
      </c>
      <c r="E37" s="5" t="s">
        <v>1197</v>
      </c>
      <c r="H37" s="5">
        <f t="shared" si="0"/>
        <v>0</v>
      </c>
    </row>
    <row r="38" spans="1:8" x14ac:dyDescent="0.25">
      <c r="A38" t="s">
        <v>481</v>
      </c>
      <c r="B38" s="5">
        <v>39.645000000000003</v>
      </c>
      <c r="C38" s="5">
        <v>-77.468000000000004</v>
      </c>
      <c r="D38" s="5" t="s">
        <v>1454</v>
      </c>
      <c r="E38" s="5" t="s">
        <v>1197</v>
      </c>
      <c r="H38" s="5">
        <f t="shared" si="0"/>
        <v>0</v>
      </c>
    </row>
    <row r="39" spans="1:8" x14ac:dyDescent="0.25">
      <c r="A39" t="s">
        <v>874</v>
      </c>
      <c r="B39" s="5">
        <v>39.734000000000002</v>
      </c>
      <c r="C39" s="5">
        <v>-77.430000000000007</v>
      </c>
      <c r="D39" s="5" t="s">
        <v>1456</v>
      </c>
      <c r="E39" s="5" t="s">
        <v>1197</v>
      </c>
      <c r="H39" s="5">
        <f t="shared" si="0"/>
        <v>0</v>
      </c>
    </row>
    <row r="40" spans="1:8" x14ac:dyDescent="0.25">
      <c r="A40" t="s">
        <v>218</v>
      </c>
      <c r="B40" s="5">
        <v>39.75</v>
      </c>
      <c r="C40" s="5">
        <v>-104.867</v>
      </c>
      <c r="D40" s="5" t="s">
        <v>1759</v>
      </c>
      <c r="E40" s="5" t="s">
        <v>1197</v>
      </c>
      <c r="H40" s="5">
        <f t="shared" si="0"/>
        <v>0</v>
      </c>
    </row>
    <row r="41" spans="1:8" x14ac:dyDescent="0.25">
      <c r="A41" t="s">
        <v>583</v>
      </c>
      <c r="B41" s="5">
        <v>39.823</v>
      </c>
      <c r="C41" s="5">
        <v>-93.578999999999994</v>
      </c>
      <c r="D41" s="5" t="s">
        <v>1738</v>
      </c>
      <c r="E41" s="5" t="s">
        <v>1197</v>
      </c>
      <c r="H41" s="5">
        <f t="shared" si="0"/>
        <v>0</v>
      </c>
    </row>
    <row r="42" spans="1:8" x14ac:dyDescent="0.25">
      <c r="A42" t="s">
        <v>1050</v>
      </c>
      <c r="B42" s="5">
        <v>40.317</v>
      </c>
      <c r="C42" s="5">
        <v>-112.3</v>
      </c>
      <c r="D42" s="5" t="s">
        <v>1765</v>
      </c>
      <c r="E42" t="s">
        <v>1197</v>
      </c>
      <c r="H42" s="5">
        <f t="shared" si="0"/>
        <v>0</v>
      </c>
    </row>
    <row r="43" spans="1:8" x14ac:dyDescent="0.25">
      <c r="A43" t="s">
        <v>220</v>
      </c>
      <c r="B43" s="5">
        <v>40.582999999999998</v>
      </c>
      <c r="C43" s="5">
        <v>-105.083</v>
      </c>
      <c r="D43" s="5" t="s">
        <v>1761</v>
      </c>
      <c r="E43" t="s">
        <v>1197</v>
      </c>
      <c r="H43" s="5">
        <f t="shared" si="0"/>
        <v>0</v>
      </c>
    </row>
    <row r="44" spans="1:8" x14ac:dyDescent="0.25">
      <c r="A44" t="s">
        <v>762</v>
      </c>
      <c r="B44" s="5">
        <v>40.783000000000001</v>
      </c>
      <c r="C44" s="5">
        <v>-73.966999999999999</v>
      </c>
      <c r="D44" s="5" t="s">
        <v>1813</v>
      </c>
      <c r="E44" t="s">
        <v>1197</v>
      </c>
      <c r="H44" s="5">
        <f t="shared" si="0"/>
        <v>0</v>
      </c>
    </row>
    <row r="45" spans="1:8" x14ac:dyDescent="0.25">
      <c r="A45" t="s">
        <v>1048</v>
      </c>
      <c r="B45" s="1">
        <v>41.05</v>
      </c>
      <c r="C45" s="1">
        <v>-113.06699999999999</v>
      </c>
      <c r="D45" s="5" t="s">
        <v>2332</v>
      </c>
      <c r="E45" t="s">
        <v>1197</v>
      </c>
      <c r="H45" s="5">
        <f t="shared" si="0"/>
        <v>0</v>
      </c>
    </row>
    <row r="46" spans="1:8" x14ac:dyDescent="0.25">
      <c r="A46" t="s">
        <v>1047</v>
      </c>
      <c r="B46" s="1">
        <v>41.05</v>
      </c>
      <c r="C46" s="1">
        <v>-113.06699999999999</v>
      </c>
      <c r="D46" s="5" t="s">
        <v>1198</v>
      </c>
      <c r="E46" s="5" t="s">
        <v>1197</v>
      </c>
      <c r="H46" s="5">
        <f t="shared" si="0"/>
        <v>0</v>
      </c>
    </row>
    <row r="47" spans="1:8" x14ac:dyDescent="0.25">
      <c r="A47" t="s">
        <v>181</v>
      </c>
      <c r="B47" s="5">
        <v>41.332999999999998</v>
      </c>
      <c r="C47" s="5">
        <v>-122.333</v>
      </c>
      <c r="D47" s="5" t="s">
        <v>2011</v>
      </c>
      <c r="E47" s="5" t="s">
        <v>1197</v>
      </c>
      <c r="H47" s="5">
        <f t="shared" si="0"/>
        <v>0</v>
      </c>
    </row>
    <row r="48" spans="1:8" x14ac:dyDescent="0.25">
      <c r="A48" t="s">
        <v>399</v>
      </c>
      <c r="B48" s="5">
        <v>41.866999999999997</v>
      </c>
      <c r="C48" s="5">
        <v>-87.6</v>
      </c>
      <c r="D48" s="5" t="s">
        <v>1914</v>
      </c>
      <c r="E48" t="s">
        <v>1197</v>
      </c>
      <c r="H48" s="5">
        <f t="shared" si="0"/>
        <v>0</v>
      </c>
    </row>
    <row r="49" spans="1:16" x14ac:dyDescent="0.25">
      <c r="A49" t="s">
        <v>391</v>
      </c>
      <c r="B49" s="5">
        <v>42.082999999999998</v>
      </c>
      <c r="C49" s="5">
        <v>-87.816999999999993</v>
      </c>
      <c r="D49" s="5" t="s">
        <v>1902</v>
      </c>
      <c r="E49" s="5" t="s">
        <v>1197</v>
      </c>
      <c r="H49" s="5">
        <f t="shared" si="0"/>
        <v>0</v>
      </c>
    </row>
    <row r="50" spans="1:16" x14ac:dyDescent="0.25">
      <c r="A50" t="s">
        <v>477</v>
      </c>
      <c r="B50" s="5">
        <v>42.212000000000003</v>
      </c>
      <c r="C50" s="5">
        <v>-71.114999999999995</v>
      </c>
      <c r="D50" s="5" t="s">
        <v>2239</v>
      </c>
      <c r="E50" s="5" t="s">
        <v>1197</v>
      </c>
      <c r="H50" s="5">
        <f t="shared" si="0"/>
        <v>0</v>
      </c>
    </row>
    <row r="51" spans="1:16" x14ac:dyDescent="0.25">
      <c r="A51" t="s">
        <v>857</v>
      </c>
      <c r="B51" s="5">
        <v>42.591000000000001</v>
      </c>
      <c r="C51" s="5">
        <v>-117.864</v>
      </c>
      <c r="D51" s="5" t="s">
        <v>2135</v>
      </c>
      <c r="E51" t="s">
        <v>1197</v>
      </c>
      <c r="H51" s="5">
        <f t="shared" si="0"/>
        <v>0</v>
      </c>
    </row>
    <row r="52" spans="1:16" x14ac:dyDescent="0.25">
      <c r="A52" t="s">
        <v>856</v>
      </c>
      <c r="B52" s="5">
        <v>42.9</v>
      </c>
      <c r="C52" s="5">
        <v>-117.65</v>
      </c>
      <c r="D52" s="5" t="s">
        <v>2134</v>
      </c>
      <c r="E52" s="5" t="s">
        <v>1197</v>
      </c>
      <c r="H52" s="5">
        <f t="shared" si="0"/>
        <v>0</v>
      </c>
    </row>
    <row r="53" spans="1:16" x14ac:dyDescent="0.25">
      <c r="A53" t="s">
        <v>1128</v>
      </c>
      <c r="B53" s="5">
        <v>43.817</v>
      </c>
      <c r="C53" s="5">
        <v>-91.2</v>
      </c>
      <c r="D53" s="5" t="s">
        <v>2036</v>
      </c>
      <c r="E53" s="5" t="s">
        <v>1197</v>
      </c>
      <c r="H53" s="5">
        <f t="shared" si="0"/>
        <v>0</v>
      </c>
    </row>
    <row r="54" spans="1:16" x14ac:dyDescent="0.25">
      <c r="A54" t="s">
        <v>378</v>
      </c>
      <c r="B54" s="5">
        <v>44.170999999999999</v>
      </c>
      <c r="C54" s="5">
        <v>-114.92700000000001</v>
      </c>
      <c r="D54" s="5" t="s">
        <v>2129</v>
      </c>
      <c r="E54" s="5" t="s">
        <v>1197</v>
      </c>
      <c r="H54" s="5">
        <f t="shared" si="0"/>
        <v>0</v>
      </c>
    </row>
    <row r="55" spans="1:16" x14ac:dyDescent="0.25">
      <c r="A55" t="s">
        <v>500</v>
      </c>
      <c r="B55" s="5">
        <v>45.462000000000003</v>
      </c>
      <c r="C55" s="5">
        <v>-69.594999999999999</v>
      </c>
      <c r="D55" s="5" t="s">
        <v>2032</v>
      </c>
      <c r="E55" s="5" t="s">
        <v>1197</v>
      </c>
      <c r="H55" s="5">
        <f t="shared" si="0"/>
        <v>0</v>
      </c>
    </row>
    <row r="56" spans="1:16" x14ac:dyDescent="0.25">
      <c r="A56" t="s">
        <v>861</v>
      </c>
      <c r="B56" s="5">
        <v>45.511000000000003</v>
      </c>
      <c r="C56" s="5">
        <v>-118.425</v>
      </c>
      <c r="D56" s="5" t="s">
        <v>2139</v>
      </c>
      <c r="E56" s="5" t="s">
        <v>1197</v>
      </c>
      <c r="H56" s="5">
        <f t="shared" si="0"/>
        <v>0</v>
      </c>
    </row>
    <row r="57" spans="1:16" x14ac:dyDescent="0.25">
      <c r="A57" t="s">
        <v>944</v>
      </c>
      <c r="B57" s="5">
        <v>45.603999999999999</v>
      </c>
      <c r="C57" s="5">
        <v>-103.54600000000001</v>
      </c>
      <c r="D57" s="5" t="s">
        <v>2106</v>
      </c>
      <c r="E57" t="s">
        <v>1197</v>
      </c>
      <c r="H57" s="5">
        <f t="shared" si="0"/>
        <v>0</v>
      </c>
    </row>
    <row r="58" spans="1:16" x14ac:dyDescent="0.25">
      <c r="A58" t="s">
        <v>367</v>
      </c>
      <c r="B58" s="5">
        <v>46.143999999999998</v>
      </c>
      <c r="C58" s="5">
        <v>-115.596</v>
      </c>
      <c r="D58" s="5" t="s">
        <v>1989</v>
      </c>
      <c r="E58" s="5" t="s">
        <v>1197</v>
      </c>
      <c r="H58" s="5">
        <f t="shared" si="0"/>
        <v>0</v>
      </c>
    </row>
    <row r="59" spans="1:16" x14ac:dyDescent="0.25">
      <c r="A59" t="s">
        <v>510</v>
      </c>
      <c r="B59" s="5">
        <v>46.429000000000002</v>
      </c>
      <c r="C59" s="5">
        <v>-86.650999999999996</v>
      </c>
      <c r="D59" s="5" t="s">
        <v>1208</v>
      </c>
      <c r="E59" s="5" t="s">
        <v>1197</v>
      </c>
      <c r="H59" s="5">
        <f t="shared" si="0"/>
        <v>0</v>
      </c>
    </row>
    <row r="60" spans="1:16" x14ac:dyDescent="0.25">
      <c r="A60" t="s">
        <v>1097</v>
      </c>
      <c r="B60" s="5">
        <v>46.566000000000003</v>
      </c>
      <c r="C60" s="5">
        <v>-119.601</v>
      </c>
      <c r="D60" s="5" t="s">
        <v>2197</v>
      </c>
      <c r="E60" s="5" t="s">
        <v>1197</v>
      </c>
      <c r="H60" s="5">
        <f t="shared" si="0"/>
        <v>0</v>
      </c>
    </row>
    <row r="61" spans="1:16" x14ac:dyDescent="0.25">
      <c r="A61" t="s">
        <v>1093</v>
      </c>
      <c r="B61" s="5">
        <v>47.292999999999999</v>
      </c>
      <c r="C61" s="5">
        <v>-121.337</v>
      </c>
      <c r="D61" s="5" t="s">
        <v>2192</v>
      </c>
      <c r="E61" s="5" t="s">
        <v>1197</v>
      </c>
      <c r="H61" s="5">
        <f t="shared" si="0"/>
        <v>0</v>
      </c>
    </row>
    <row r="62" spans="1:16" x14ac:dyDescent="0.25">
      <c r="A62" t="s">
        <v>560</v>
      </c>
      <c r="B62" s="5">
        <v>47.747</v>
      </c>
      <c r="C62" s="5">
        <v>-90.343999999999994</v>
      </c>
      <c r="D62" s="5" t="s">
        <v>2168</v>
      </c>
      <c r="E62" s="5" t="s">
        <v>1197</v>
      </c>
      <c r="H62" s="5">
        <f t="shared" si="0"/>
        <v>0</v>
      </c>
    </row>
    <row r="63" spans="1:16" x14ac:dyDescent="0.25">
      <c r="A63" t="s">
        <v>344</v>
      </c>
      <c r="B63" s="5">
        <v>20.786000000000001</v>
      </c>
      <c r="C63" s="5">
        <v>-156.95099999999999</v>
      </c>
      <c r="D63" s="5" t="s">
        <v>2301</v>
      </c>
      <c r="E63" s="5">
        <v>0</v>
      </c>
      <c r="H63" s="5">
        <f t="shared" si="0"/>
        <v>0</v>
      </c>
    </row>
    <row r="64" spans="1:16" x14ac:dyDescent="0.25">
      <c r="A64" t="s">
        <v>345</v>
      </c>
      <c r="B64" s="5">
        <v>19.736000000000001</v>
      </c>
      <c r="C64" s="5">
        <v>-156.04900000000001</v>
      </c>
      <c r="D64" s="5" t="s">
        <v>2302</v>
      </c>
      <c r="E64" s="5">
        <v>1</v>
      </c>
      <c r="F64" s="7">
        <v>1</v>
      </c>
      <c r="G64">
        <v>12.5</v>
      </c>
      <c r="H64" s="5">
        <f t="shared" ref="H64:H70" si="1">3.14*G64*G64/8</f>
        <v>61.328125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25">
      <c r="A65" t="s">
        <v>347</v>
      </c>
      <c r="B65" s="5">
        <v>19.753</v>
      </c>
      <c r="C65" s="5">
        <v>-155.55699999999999</v>
      </c>
      <c r="D65" s="5" t="s">
        <v>2304</v>
      </c>
      <c r="E65" s="5">
        <v>1</v>
      </c>
      <c r="F65" s="7">
        <v>0</v>
      </c>
      <c r="G65">
        <f>24.7/2</f>
        <v>12.35</v>
      </c>
      <c r="H65" s="5">
        <f t="shared" si="1"/>
        <v>59.865081250000003</v>
      </c>
      <c r="I6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x14ac:dyDescent="0.25">
      <c r="A66" t="s">
        <v>346</v>
      </c>
      <c r="B66" s="5">
        <v>20</v>
      </c>
      <c r="C66" s="5">
        <v>-155.667</v>
      </c>
      <c r="D66" s="5" t="s">
        <v>2303</v>
      </c>
      <c r="E66" s="5">
        <v>1</v>
      </c>
      <c r="F66" s="7">
        <v>0</v>
      </c>
      <c r="G66">
        <f>19.4/2</f>
        <v>9.6999999999999993</v>
      </c>
      <c r="H66" s="5">
        <f t="shared" si="1"/>
        <v>36.930324999999996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f>1.5/H66</f>
        <v>4.0617026793021725E-2</v>
      </c>
      <c r="P66">
        <v>0</v>
      </c>
    </row>
    <row r="67" spans="1:16" x14ac:dyDescent="0.25">
      <c r="A67" t="s">
        <v>343</v>
      </c>
      <c r="B67" s="5">
        <v>20.902000000000001</v>
      </c>
      <c r="C67" s="5">
        <v>-156.43299999999999</v>
      </c>
      <c r="D67" s="5" t="s">
        <v>2300</v>
      </c>
      <c r="E67" s="5">
        <v>1</v>
      </c>
      <c r="F67" s="7">
        <v>0</v>
      </c>
      <c r="G67">
        <v>11</v>
      </c>
      <c r="H67" s="5">
        <f t="shared" si="1"/>
        <v>47.4925</v>
      </c>
      <c r="I67">
        <v>0</v>
      </c>
      <c r="J67">
        <v>0</v>
      </c>
      <c r="K67">
        <f>3/H67</f>
        <v>6.3167868610833289E-2</v>
      </c>
      <c r="L67">
        <v>0</v>
      </c>
      <c r="M67" s="5">
        <v>0</v>
      </c>
      <c r="N67" s="5">
        <v>0</v>
      </c>
      <c r="O67" s="5">
        <v>0</v>
      </c>
      <c r="P67" s="5">
        <v>0</v>
      </c>
    </row>
    <row r="68" spans="1:16" x14ac:dyDescent="0.25">
      <c r="A68" t="s">
        <v>341</v>
      </c>
      <c r="B68" s="5">
        <v>21.157</v>
      </c>
      <c r="C68" s="5">
        <v>-157.09899999999999</v>
      </c>
      <c r="D68" s="5" t="s">
        <v>2299</v>
      </c>
      <c r="E68" s="5">
        <v>1</v>
      </c>
      <c r="F68" s="7">
        <v>1</v>
      </c>
      <c r="G68">
        <v>10.5</v>
      </c>
      <c r="H68" s="5">
        <f t="shared" si="1"/>
        <v>43.273125</v>
      </c>
      <c r="I68">
        <f>1.5/H68</f>
        <v>3.46635469474414E-2</v>
      </c>
      <c r="J68">
        <f>0.75/H68</f>
        <v>1.73317734737207E-2</v>
      </c>
      <c r="K68">
        <f>2.2*0.4/H68</f>
        <v>2.0335947542498956E-2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t="s">
        <v>339</v>
      </c>
      <c r="B69" s="5">
        <v>21.3</v>
      </c>
      <c r="C69" s="5">
        <v>-158.06700000000001</v>
      </c>
      <c r="D69" s="5" t="s">
        <v>2297</v>
      </c>
      <c r="E69" s="5">
        <v>1</v>
      </c>
      <c r="F69" s="7">
        <v>0</v>
      </c>
      <c r="G69">
        <f>22.2/2</f>
        <v>11.1</v>
      </c>
      <c r="H69" s="5">
        <f t="shared" si="1"/>
        <v>48.359924999999997</v>
      </c>
      <c r="I69">
        <v>0</v>
      </c>
      <c r="J69">
        <v>0</v>
      </c>
      <c r="K69">
        <v>0</v>
      </c>
      <c r="L69">
        <v>0</v>
      </c>
      <c r="M69">
        <f>2.5/H69</f>
        <v>5.1695696384971651E-2</v>
      </c>
      <c r="N69">
        <v>0</v>
      </c>
      <c r="O69" s="5">
        <v>0</v>
      </c>
      <c r="P69" s="5">
        <v>0</v>
      </c>
    </row>
    <row r="70" spans="1:16" x14ac:dyDescent="0.25">
      <c r="A70" t="s">
        <v>340</v>
      </c>
      <c r="B70" s="5">
        <v>21.327999999999999</v>
      </c>
      <c r="C70" s="5">
        <v>-157.94300000000001</v>
      </c>
      <c r="D70" s="5" t="s">
        <v>2298</v>
      </c>
      <c r="E70" s="5">
        <v>1</v>
      </c>
      <c r="F70" s="7">
        <v>0</v>
      </c>
      <c r="G70">
        <f>22.7/2</f>
        <v>11.35</v>
      </c>
      <c r="H70" s="5">
        <f t="shared" si="1"/>
        <v>50.562831250000002</v>
      </c>
      <c r="I70">
        <v>0</v>
      </c>
      <c r="J70">
        <v>0</v>
      </c>
      <c r="K70">
        <v>0</v>
      </c>
      <c r="L70">
        <v>0</v>
      </c>
      <c r="M70">
        <f>1.5/H70</f>
        <v>2.9666060284153885E-2</v>
      </c>
      <c r="N70">
        <f>3/H70</f>
        <v>5.9332120568307771E-2</v>
      </c>
      <c r="O70">
        <v>0</v>
      </c>
      <c r="P70">
        <v>0</v>
      </c>
    </row>
    <row r="71" spans="1:16" x14ac:dyDescent="0.25">
      <c r="A71" t="s">
        <v>338</v>
      </c>
      <c r="B71" s="5">
        <v>21.451000000000001</v>
      </c>
      <c r="C71" s="5">
        <v>-157.768</v>
      </c>
      <c r="D71" s="5" t="s">
        <v>2296</v>
      </c>
      <c r="E71" s="5">
        <v>1</v>
      </c>
      <c r="F71" s="7">
        <v>1</v>
      </c>
      <c r="G71">
        <v>12.6</v>
      </c>
      <c r="H71" s="5">
        <f t="shared" ref="H71:H76" si="2">3.14*G71*G71/8</f>
        <v>62.313299999999998</v>
      </c>
      <c r="I71">
        <v>0</v>
      </c>
      <c r="J71" s="5">
        <f>3/4</f>
        <v>0.75</v>
      </c>
      <c r="K71">
        <f>2.3/3</f>
        <v>0.76666666666666661</v>
      </c>
      <c r="L71">
        <f>(4.3*5.5+5.2*3/2)/H71</f>
        <v>0.50470766273010736</v>
      </c>
      <c r="M71">
        <f>4.2*3.3/H71</f>
        <v>0.2224244262460823</v>
      </c>
      <c r="N71">
        <f>5.4*3.4/H71</f>
        <v>0.29464014905325187</v>
      </c>
      <c r="O71">
        <f>0.3/H71</f>
        <v>4.8143815204779719E-3</v>
      </c>
      <c r="P71">
        <f>0.25/H71</f>
        <v>4.0119846003983098E-3</v>
      </c>
    </row>
    <row r="72" spans="1:16" x14ac:dyDescent="0.25">
      <c r="A72" t="s">
        <v>337</v>
      </c>
      <c r="B72" s="5">
        <v>21.484999999999999</v>
      </c>
      <c r="C72" s="5">
        <v>-158.04</v>
      </c>
      <c r="D72" s="5" t="s">
        <v>2295</v>
      </c>
      <c r="E72" s="5">
        <v>1</v>
      </c>
      <c r="F72" s="7">
        <v>0</v>
      </c>
      <c r="G72">
        <v>12</v>
      </c>
      <c r="H72" s="5">
        <f t="shared" si="2"/>
        <v>56.519999999999996</v>
      </c>
      <c r="I72">
        <f>10*2.5/2/H72</f>
        <v>0.22116065109695685</v>
      </c>
      <c r="J72">
        <f>0.8/H72</f>
        <v>1.415428167020524E-2</v>
      </c>
      <c r="K72">
        <v>0</v>
      </c>
      <c r="L72">
        <v>0</v>
      </c>
      <c r="M72">
        <v>0</v>
      </c>
      <c r="N72">
        <v>0</v>
      </c>
      <c r="O72">
        <f>3.5*4/2/H72</f>
        <v>0.12384996461429583</v>
      </c>
      <c r="P72">
        <f>4*8.5/2/H72</f>
        <v>0.30077848549186131</v>
      </c>
    </row>
    <row r="73" spans="1:16" x14ac:dyDescent="0.25">
      <c r="A73" t="s">
        <v>336</v>
      </c>
      <c r="B73" s="5">
        <v>21.978999999999999</v>
      </c>
      <c r="C73" s="5">
        <v>-159.34100000000001</v>
      </c>
      <c r="D73" s="5" t="s">
        <v>2294</v>
      </c>
      <c r="E73">
        <v>1</v>
      </c>
      <c r="F73" s="7">
        <v>1</v>
      </c>
      <c r="G73">
        <v>11.5</v>
      </c>
      <c r="H73" s="5">
        <f t="shared" si="2"/>
        <v>51.908124999999998</v>
      </c>
      <c r="I73">
        <v>0</v>
      </c>
      <c r="J73">
        <v>0</v>
      </c>
      <c r="K73">
        <v>0</v>
      </c>
      <c r="L73">
        <v>0</v>
      </c>
      <c r="M73">
        <f>2.1/H73</f>
        <v>4.0456094301229338E-2</v>
      </c>
      <c r="N73">
        <f>0.19/H73</f>
        <v>3.6603132939207494E-3</v>
      </c>
      <c r="O73">
        <f>0.195/H73</f>
        <v>3.7566373279712957E-3</v>
      </c>
      <c r="P73">
        <f>3/H73</f>
        <v>5.7794420430327627E-2</v>
      </c>
    </row>
    <row r="74" spans="1:16" x14ac:dyDescent="0.25">
      <c r="A74" t="s">
        <v>335</v>
      </c>
      <c r="B74" s="5">
        <v>22.024999999999999</v>
      </c>
      <c r="C74" s="5">
        <v>-159.78899999999999</v>
      </c>
      <c r="D74" s="5" t="s">
        <v>2293</v>
      </c>
      <c r="E74" s="5">
        <v>1</v>
      </c>
      <c r="F74" s="7">
        <v>0</v>
      </c>
      <c r="G74">
        <f>20.5/2</f>
        <v>10.25</v>
      </c>
      <c r="H74" s="5">
        <f t="shared" si="2"/>
        <v>41.237031250000001</v>
      </c>
      <c r="I74">
        <f>3/H74</f>
        <v>7.2750144931929356E-2</v>
      </c>
      <c r="J74">
        <f>3/H74</f>
        <v>7.2750144931929356E-2</v>
      </c>
      <c r="K74">
        <f>4/H74</f>
        <v>9.7000193242572474E-2</v>
      </c>
      <c r="L74">
        <f>3/H74</f>
        <v>7.2750144931929356E-2</v>
      </c>
      <c r="M74">
        <v>0</v>
      </c>
      <c r="N74" s="5">
        <v>0</v>
      </c>
      <c r="O74" s="5">
        <v>0</v>
      </c>
      <c r="P74" s="5">
        <v>0</v>
      </c>
    </row>
    <row r="75" spans="1:16" x14ac:dyDescent="0.25">
      <c r="A75" t="s">
        <v>245</v>
      </c>
      <c r="B75" s="5">
        <v>24.553000000000001</v>
      </c>
      <c r="C75" s="5">
        <v>-81.754000000000005</v>
      </c>
      <c r="D75" s="5" t="s">
        <v>1220</v>
      </c>
      <c r="E75">
        <v>1</v>
      </c>
      <c r="F75" s="7">
        <v>1</v>
      </c>
      <c r="G75">
        <v>10.6</v>
      </c>
      <c r="H75" s="5">
        <f t="shared" si="2"/>
        <v>44.101299999999995</v>
      </c>
      <c r="I75">
        <v>0.5</v>
      </c>
      <c r="J75">
        <f>18/H75</f>
        <v>0.40815123363710371</v>
      </c>
      <c r="K75">
        <f>2.5*4/H75</f>
        <v>0.22675068535394652</v>
      </c>
      <c r="L75">
        <f>5*2.5/H75</f>
        <v>0.28343835669243311</v>
      </c>
      <c r="M75">
        <f>7*2.5/H75</f>
        <v>0.39681369936940641</v>
      </c>
      <c r="N75">
        <f>4/H75</f>
        <v>9.0700274141578607E-2</v>
      </c>
      <c r="O75">
        <f>12/H75</f>
        <v>0.27210082242473582</v>
      </c>
      <c r="P75">
        <f>1.5*4.5/H75</f>
        <v>0.1530567126139139</v>
      </c>
    </row>
    <row r="76" spans="1:16" x14ac:dyDescent="0.25">
      <c r="A76" t="s">
        <v>247</v>
      </c>
      <c r="B76" s="5">
        <v>24.582999999999998</v>
      </c>
      <c r="C76" s="5">
        <v>-81.683000000000007</v>
      </c>
      <c r="D76" s="5" t="s">
        <v>1222</v>
      </c>
      <c r="E76">
        <v>1</v>
      </c>
      <c r="F76" s="7">
        <v>1</v>
      </c>
      <c r="G76">
        <v>13</v>
      </c>
      <c r="H76" s="5">
        <f t="shared" si="2"/>
        <v>66.332499999999996</v>
      </c>
      <c r="I76">
        <f>25/H76</f>
        <v>0.37688915689895602</v>
      </c>
      <c r="J76">
        <v>0.5</v>
      </c>
      <c r="K76">
        <f>12/H76</f>
        <v>0.18090679531149889</v>
      </c>
      <c r="L76">
        <f>5*1.5/H76</f>
        <v>0.11306674706968681</v>
      </c>
      <c r="M76">
        <f>15/H76</f>
        <v>0.22613349413937361</v>
      </c>
      <c r="N76">
        <f>4*5.5/2/H76</f>
        <v>0.16583122903554065</v>
      </c>
      <c r="O76">
        <f>5/H76</f>
        <v>7.5377831379791205E-2</v>
      </c>
      <c r="P76">
        <f>2/H76</f>
        <v>3.0151132551916482E-2</v>
      </c>
    </row>
    <row r="77" spans="1:16" x14ac:dyDescent="0.25">
      <c r="A77" t="s">
        <v>248</v>
      </c>
      <c r="B77" s="5">
        <v>24.725999999999999</v>
      </c>
      <c r="C77" s="5">
        <v>-81.052000000000007</v>
      </c>
      <c r="D77" s="5" t="s">
        <v>1223</v>
      </c>
      <c r="E77">
        <v>1</v>
      </c>
      <c r="F77" s="7">
        <v>0</v>
      </c>
      <c r="G77">
        <v>10</v>
      </c>
      <c r="H77" s="5">
        <f>3.14*G77*G77/8</f>
        <v>39.25</v>
      </c>
      <c r="I77">
        <f>(H77-1.7*1.7/2)/H77</f>
        <v>0.96318471337579614</v>
      </c>
      <c r="J77">
        <f>6*8/2/H77</f>
        <v>0.61146496815286622</v>
      </c>
      <c r="K77">
        <f>5.5*5/2/H77</f>
        <v>0.3503184713375796</v>
      </c>
      <c r="L77">
        <f>8.5*6.5/2/H77</f>
        <v>0.70382165605095537</v>
      </c>
      <c r="M77">
        <f>7.5*5.5/2/H77</f>
        <v>0.52547770700636942</v>
      </c>
      <c r="N77">
        <f>6*3.5/2/H77</f>
        <v>0.26751592356687898</v>
      </c>
      <c r="O77">
        <f>9*6/2/H77</f>
        <v>0.68789808917197448</v>
      </c>
      <c r="P77">
        <f>(H77-1.2*1.2/2)/H77</f>
        <v>0.98165605095541408</v>
      </c>
    </row>
    <row r="78" spans="1:16" x14ac:dyDescent="0.25">
      <c r="A78" t="s">
        <v>254</v>
      </c>
      <c r="B78" s="5">
        <v>25.488</v>
      </c>
      <c r="C78" s="5">
        <v>-80.384</v>
      </c>
      <c r="D78" s="5" t="s">
        <v>1230</v>
      </c>
      <c r="E78">
        <v>1</v>
      </c>
      <c r="F78" s="7">
        <v>0</v>
      </c>
      <c r="G78">
        <f>25.8/2</f>
        <v>12.9</v>
      </c>
      <c r="H78" s="5">
        <f>3.14*G78*G78/8</f>
        <v>65.315925000000007</v>
      </c>
      <c r="I78">
        <v>0</v>
      </c>
      <c r="J78">
        <v>0</v>
      </c>
      <c r="K78">
        <f>8*5.5/2/H78</f>
        <v>0.33682444212494883</v>
      </c>
      <c r="L78">
        <f>4.5*6.5/2/H78</f>
        <v>0.22391170300351712</v>
      </c>
      <c r="M78">
        <f>3/H78</f>
        <v>4.5930605744311202E-2</v>
      </c>
      <c r="N78">
        <v>0</v>
      </c>
      <c r="O78" s="5">
        <v>0</v>
      </c>
      <c r="P78" s="5">
        <v>0</v>
      </c>
    </row>
    <row r="79" spans="1:16" x14ac:dyDescent="0.25">
      <c r="A79" t="s">
        <v>255</v>
      </c>
      <c r="B79" s="5">
        <v>25.648</v>
      </c>
      <c r="C79" s="5">
        <v>-80.433000000000007</v>
      </c>
      <c r="D79" s="5" t="s">
        <v>1231</v>
      </c>
      <c r="E79">
        <v>1</v>
      </c>
      <c r="F79" s="7">
        <v>1</v>
      </c>
      <c r="G79">
        <f>21.7/2</f>
        <v>10.85</v>
      </c>
      <c r="H79" s="5">
        <f t="shared" ref="H79:H90" si="3">3.14*G79*G79/8</f>
        <v>46.206081250000004</v>
      </c>
      <c r="I79">
        <v>0</v>
      </c>
      <c r="J79">
        <v>0</v>
      </c>
      <c r="K79">
        <v>0</v>
      </c>
      <c r="L79">
        <f>(H79-11*4/2)/H79</f>
        <v>0.52387219593524825</v>
      </c>
      <c r="M79">
        <f>(H79-4.9*5.4/2)/H79</f>
        <v>0.71367405237378789</v>
      </c>
      <c r="N79">
        <f>4.5*6/2/H79</f>
        <v>0.29216933431246128</v>
      </c>
      <c r="O79">
        <v>0</v>
      </c>
      <c r="P79">
        <v>0</v>
      </c>
    </row>
    <row r="80" spans="1:16" x14ac:dyDescent="0.25">
      <c r="A80" t="s">
        <v>250</v>
      </c>
      <c r="B80" s="5">
        <v>25.824000000000002</v>
      </c>
      <c r="C80" s="5">
        <v>-80.3</v>
      </c>
      <c r="D80" s="5" t="s">
        <v>1226</v>
      </c>
      <c r="E80" s="5">
        <v>1</v>
      </c>
      <c r="F80" s="7">
        <v>1</v>
      </c>
      <c r="G80">
        <f>22.7/2</f>
        <v>11.35</v>
      </c>
      <c r="H80" s="5">
        <f t="shared" si="3"/>
        <v>50.562831250000002</v>
      </c>
      <c r="I80">
        <f>(H80-4.5*5/2)/H80</f>
        <v>0.77750454786884582</v>
      </c>
      <c r="J80">
        <f>8.5*4.5/2/H80</f>
        <v>0.37824226862296201</v>
      </c>
      <c r="K80">
        <v>0</v>
      </c>
      <c r="L80">
        <v>0</v>
      </c>
      <c r="M80">
        <f>1/H80</f>
        <v>1.9777373522769256E-2</v>
      </c>
      <c r="N80">
        <f>2*1.5/H80</f>
        <v>5.9332120568307771E-2</v>
      </c>
      <c r="O80">
        <f>6*1.4/2/H80</f>
        <v>8.306496879563087E-2</v>
      </c>
      <c r="P80">
        <f>8.5*6/2/H80</f>
        <v>0.50432302483061608</v>
      </c>
    </row>
    <row r="81" spans="1:16" x14ac:dyDescent="0.25">
      <c r="A81" t="s">
        <v>981</v>
      </c>
      <c r="B81" s="5">
        <v>25.905999999999999</v>
      </c>
      <c r="C81" s="5">
        <v>-97.426000000000002</v>
      </c>
      <c r="D81" s="5" t="s">
        <v>1368</v>
      </c>
      <c r="E81" s="5">
        <v>1</v>
      </c>
      <c r="F81" s="7">
        <v>1</v>
      </c>
      <c r="G81">
        <f>19/2</f>
        <v>9.5</v>
      </c>
      <c r="H81" s="5">
        <f t="shared" si="3"/>
        <v>35.423124999999999</v>
      </c>
      <c r="I81">
        <f>(H81-5.5*6.5/2)/H81</f>
        <v>0.4953861354694144</v>
      </c>
      <c r="J81">
        <f>4.5*2.5/2/H81</f>
        <v>0.15879457275438008</v>
      </c>
      <c r="K81">
        <f>1.2/H81</f>
        <v>3.3876175520934415E-2</v>
      </c>
      <c r="L81">
        <v>0</v>
      </c>
      <c r="M81">
        <v>0</v>
      </c>
      <c r="N81">
        <f>0.5/H81</f>
        <v>1.4115073133722674E-2</v>
      </c>
      <c r="O81">
        <f>0.4/H81</f>
        <v>1.1292058506978141E-2</v>
      </c>
      <c r="P81">
        <f>4/H81</f>
        <v>0.11292058506978139</v>
      </c>
    </row>
    <row r="82" spans="1:16" x14ac:dyDescent="0.25">
      <c r="A82" t="s">
        <v>252</v>
      </c>
      <c r="B82" s="5">
        <v>25.907</v>
      </c>
      <c r="C82" s="5">
        <v>-80.28</v>
      </c>
      <c r="D82" s="5" t="s">
        <v>1228</v>
      </c>
      <c r="E82" s="5">
        <v>1</v>
      </c>
      <c r="F82" s="7">
        <v>0</v>
      </c>
      <c r="G82">
        <f>23.5/2</f>
        <v>11.75</v>
      </c>
      <c r="H82" s="5">
        <f t="shared" si="3"/>
        <v>54.189531250000002</v>
      </c>
      <c r="I82">
        <v>0</v>
      </c>
      <c r="J82">
        <f>0.7/H82</f>
        <v>1.291762419517146E-2</v>
      </c>
      <c r="K82">
        <f>7*4.5/2/H82</f>
        <v>0.2906465443913579</v>
      </c>
      <c r="L82">
        <v>0</v>
      </c>
      <c r="M82" s="5">
        <v>0</v>
      </c>
      <c r="N82" s="5">
        <v>0</v>
      </c>
      <c r="O82" s="5">
        <v>0</v>
      </c>
      <c r="P82" s="5">
        <v>0</v>
      </c>
    </row>
    <row r="83" spans="1:16" x14ac:dyDescent="0.25">
      <c r="A83" t="s">
        <v>258</v>
      </c>
      <c r="B83" s="5">
        <v>25.998999999999999</v>
      </c>
      <c r="C83" s="5">
        <v>-80.241</v>
      </c>
      <c r="D83" s="5" t="s">
        <v>1235</v>
      </c>
      <c r="E83" s="5">
        <v>1</v>
      </c>
      <c r="F83" s="7">
        <v>1</v>
      </c>
      <c r="G83">
        <f>21.2/2</f>
        <v>10.6</v>
      </c>
      <c r="H83" s="5">
        <f t="shared" si="3"/>
        <v>44.101299999999995</v>
      </c>
      <c r="I83">
        <v>0</v>
      </c>
      <c r="J83">
        <v>0</v>
      </c>
      <c r="K83">
        <v>0</v>
      </c>
      <c r="L83">
        <f>3/H83</f>
        <v>6.8025205606183956E-2</v>
      </c>
      <c r="M83">
        <f>3/H83</f>
        <v>6.8025205606183956E-2</v>
      </c>
      <c r="N83">
        <v>0</v>
      </c>
      <c r="O83">
        <v>0</v>
      </c>
      <c r="P83">
        <v>0</v>
      </c>
    </row>
    <row r="84" spans="1:16" x14ac:dyDescent="0.25">
      <c r="A84" t="s">
        <v>253</v>
      </c>
      <c r="B84" s="5">
        <v>26.071999999999999</v>
      </c>
      <c r="C84" s="5">
        <v>-80.153999999999996</v>
      </c>
      <c r="D84" s="5" t="s">
        <v>1229</v>
      </c>
      <c r="E84">
        <v>1</v>
      </c>
      <c r="F84" s="7">
        <v>1</v>
      </c>
      <c r="G84">
        <v>12</v>
      </c>
      <c r="H84" s="5">
        <f t="shared" si="3"/>
        <v>56.519999999999996</v>
      </c>
      <c r="I84">
        <v>0</v>
      </c>
      <c r="J84">
        <v>0</v>
      </c>
      <c r="K84">
        <v>0</v>
      </c>
      <c r="L84">
        <v>0</v>
      </c>
      <c r="M84">
        <f>3.5*2/H84</f>
        <v>0.12384996461429583</v>
      </c>
      <c r="N84">
        <v>0</v>
      </c>
      <c r="O84">
        <f>3.5/H84</f>
        <v>6.1924982307147915E-2</v>
      </c>
      <c r="P84">
        <f>2.5*4.5/H84</f>
        <v>0.19904458598726116</v>
      </c>
    </row>
    <row r="85" spans="1:16" x14ac:dyDescent="0.25">
      <c r="A85" t="s">
        <v>984</v>
      </c>
      <c r="B85" s="5">
        <v>26.15</v>
      </c>
      <c r="C85" s="5">
        <v>-97.332999999999998</v>
      </c>
      <c r="D85" s="5" t="s">
        <v>1371</v>
      </c>
      <c r="E85" s="5">
        <v>1</v>
      </c>
      <c r="F85" s="7">
        <v>1</v>
      </c>
      <c r="G85">
        <v>12</v>
      </c>
      <c r="H85" s="5">
        <f t="shared" si="3"/>
        <v>56.519999999999996</v>
      </c>
      <c r="I85">
        <f>0.7/H85</f>
        <v>1.2384996461429583E-2</v>
      </c>
      <c r="J85">
        <f>8*0.6/H85</f>
        <v>8.4925690021231431E-2</v>
      </c>
      <c r="K85">
        <f>1/H85</f>
        <v>1.7692852087756547E-2</v>
      </c>
      <c r="L85">
        <v>0</v>
      </c>
      <c r="M85">
        <f>5*4.5/2/H85</f>
        <v>0.19904458598726116</v>
      </c>
      <c r="N85">
        <f>5.5/H85</f>
        <v>9.7310686482661016E-2</v>
      </c>
      <c r="O85">
        <f>3.5/H85</f>
        <v>6.1924982307147915E-2</v>
      </c>
      <c r="P85">
        <v>0</v>
      </c>
    </row>
    <row r="86" spans="1:16" x14ac:dyDescent="0.25">
      <c r="A86" t="s">
        <v>259</v>
      </c>
      <c r="B86" s="5">
        <v>26.152999999999999</v>
      </c>
      <c r="C86" s="5">
        <v>-81.775000000000006</v>
      </c>
      <c r="D86" s="5" t="s">
        <v>1236</v>
      </c>
      <c r="E86" s="5">
        <v>1</v>
      </c>
      <c r="F86" s="7">
        <v>1</v>
      </c>
      <c r="G86">
        <v>11</v>
      </c>
      <c r="H86" s="5">
        <f t="shared" si="3"/>
        <v>47.4925</v>
      </c>
      <c r="I86">
        <f>(H86-6*3.5/2)/H86</f>
        <v>0.77891245986208346</v>
      </c>
      <c r="J86">
        <f>6*3/2/H86</f>
        <v>0.18950360583249987</v>
      </c>
      <c r="K86">
        <v>0</v>
      </c>
      <c r="L86">
        <v>0</v>
      </c>
      <c r="M86">
        <v>0</v>
      </c>
      <c r="N86">
        <v>0</v>
      </c>
      <c r="O86">
        <v>0</v>
      </c>
      <c r="P86">
        <f>5*6.5/2/H86</f>
        <v>0.34215928830868031</v>
      </c>
    </row>
    <row r="87" spans="1:16" x14ac:dyDescent="0.25">
      <c r="A87" t="s">
        <v>983</v>
      </c>
      <c r="B87" s="5">
        <v>26.175000000000001</v>
      </c>
      <c r="C87" s="5">
        <v>-98.238</v>
      </c>
      <c r="D87" s="5" t="s">
        <v>1370</v>
      </c>
      <c r="E87">
        <v>1</v>
      </c>
      <c r="F87" s="7">
        <v>1</v>
      </c>
      <c r="G87">
        <f>25.5/2</f>
        <v>12.75</v>
      </c>
      <c r="H87" s="5">
        <f t="shared" si="3"/>
        <v>63.805781250000003</v>
      </c>
      <c r="I87">
        <f>1.5/H87</f>
        <v>2.350884152836856E-2</v>
      </c>
      <c r="J87">
        <f>3*8/2/H87</f>
        <v>0.18807073222694848</v>
      </c>
      <c r="K87">
        <v>0</v>
      </c>
      <c r="L87">
        <v>0</v>
      </c>
      <c r="M87">
        <f>5*11/2/H87</f>
        <v>0.43099542802009022</v>
      </c>
      <c r="N87">
        <f>(H87-3.5*4/2)/H87</f>
        <v>0.89029207286761336</v>
      </c>
      <c r="O87">
        <f>8*9.5/2/H87</f>
        <v>0.59555731871867013</v>
      </c>
      <c r="P87">
        <f>3*3.5/2/H87</f>
        <v>8.2280945349289952E-2</v>
      </c>
    </row>
    <row r="88" spans="1:16" x14ac:dyDescent="0.25">
      <c r="A88" t="s">
        <v>260</v>
      </c>
      <c r="B88" s="5">
        <v>26.196999999999999</v>
      </c>
      <c r="C88" s="5">
        <v>-80.171000000000006</v>
      </c>
      <c r="D88" s="5" t="s">
        <v>1237</v>
      </c>
      <c r="E88" s="5">
        <v>1</v>
      </c>
      <c r="F88" s="7">
        <v>0</v>
      </c>
      <c r="G88">
        <f>19/2</f>
        <v>9.5</v>
      </c>
      <c r="H88" s="5">
        <f t="shared" si="3"/>
        <v>35.423124999999999</v>
      </c>
      <c r="I88">
        <f>7*1.5/2/H88</f>
        <v>0.14820826790408809</v>
      </c>
      <c r="J88">
        <v>0</v>
      </c>
      <c r="K88">
        <v>0</v>
      </c>
      <c r="L88">
        <v>0</v>
      </c>
      <c r="M88">
        <f>8*4/2/H88</f>
        <v>0.45168234027912557</v>
      </c>
      <c r="N88">
        <f>7.5*4/2/H88</f>
        <v>0.42345219401168022</v>
      </c>
      <c r="O88">
        <f>3/H88</f>
        <v>8.4690438802336052E-2</v>
      </c>
      <c r="P88">
        <f>1/H88</f>
        <v>2.8230146267445348E-2</v>
      </c>
    </row>
    <row r="89" spans="1:16" x14ac:dyDescent="0.25">
      <c r="A89" t="s">
        <v>982</v>
      </c>
      <c r="B89" s="5">
        <v>26.228000000000002</v>
      </c>
      <c r="C89" s="5">
        <v>-97.653999999999996</v>
      </c>
      <c r="D89" s="5" t="s">
        <v>1369</v>
      </c>
      <c r="E89" s="5">
        <v>1</v>
      </c>
      <c r="F89" s="7">
        <v>1</v>
      </c>
      <c r="G89">
        <v>12.5</v>
      </c>
      <c r="H89" s="5">
        <f t="shared" si="3"/>
        <v>61.328125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25">
      <c r="A90" t="s">
        <v>263</v>
      </c>
      <c r="B90" s="5">
        <v>26.25</v>
      </c>
      <c r="C90" s="5">
        <v>-80.108000000000004</v>
      </c>
      <c r="D90" s="5" t="s">
        <v>1240</v>
      </c>
      <c r="E90" s="5">
        <v>1</v>
      </c>
      <c r="F90" s="7">
        <v>0</v>
      </c>
      <c r="G90">
        <f>22.2/2</f>
        <v>11.1</v>
      </c>
      <c r="H90" s="5">
        <f t="shared" si="3"/>
        <v>48.359924999999997</v>
      </c>
      <c r="I90">
        <f>6*3/2/H90</f>
        <v>0.18610450698589795</v>
      </c>
      <c r="J90">
        <f>0.4/H90</f>
        <v>8.2713114215954651E-3</v>
      </c>
      <c r="K90">
        <f>0.5/H90</f>
        <v>1.0339139276994331E-2</v>
      </c>
      <c r="L90">
        <v>0</v>
      </c>
      <c r="M90">
        <v>0</v>
      </c>
      <c r="N90">
        <f>1.5/H90</f>
        <v>3.1017417830982989E-2</v>
      </c>
      <c r="O90">
        <v>0</v>
      </c>
      <c r="P90">
        <v>0</v>
      </c>
    </row>
    <row r="91" spans="1:16" x14ac:dyDescent="0.25">
      <c r="A91" t="s">
        <v>278</v>
      </c>
      <c r="B91" s="5">
        <v>26.536000000000001</v>
      </c>
      <c r="C91" s="5">
        <v>-81.754999999999995</v>
      </c>
      <c r="D91" s="5" t="s">
        <v>1268</v>
      </c>
      <c r="E91" s="5">
        <v>1</v>
      </c>
      <c r="F91" s="7">
        <v>1</v>
      </c>
      <c r="G91">
        <f>17.9/2</f>
        <v>8.9499999999999993</v>
      </c>
      <c r="H91" s="5">
        <f t="shared" ref="H91:H97" si="4">3.14*G91*G91/8</f>
        <v>31.440231249999997</v>
      </c>
      <c r="I91">
        <f>1.5/H91</f>
        <v>4.7709572746860766E-2</v>
      </c>
      <c r="J91">
        <v>0</v>
      </c>
      <c r="K91">
        <v>0</v>
      </c>
      <c r="L91">
        <v>0</v>
      </c>
      <c r="M91">
        <v>0</v>
      </c>
      <c r="N91">
        <v>0</v>
      </c>
      <c r="O91">
        <f>3/H91</f>
        <v>9.5419145493721533E-2</v>
      </c>
      <c r="P91">
        <f>0.8/H91</f>
        <v>2.5445105464992408E-2</v>
      </c>
    </row>
    <row r="92" spans="1:16" x14ac:dyDescent="0.25">
      <c r="A92" t="s">
        <v>277</v>
      </c>
      <c r="B92" s="5">
        <v>26.585999999999999</v>
      </c>
      <c r="C92" s="5">
        <v>-81.864000000000004</v>
      </c>
      <c r="D92" s="5" t="s">
        <v>1267</v>
      </c>
      <c r="E92" s="5">
        <v>1</v>
      </c>
      <c r="F92" s="7">
        <v>1</v>
      </c>
      <c r="G92">
        <v>12</v>
      </c>
      <c r="H92" s="5">
        <f t="shared" si="4"/>
        <v>56.519999999999996</v>
      </c>
      <c r="I92">
        <v>0</v>
      </c>
      <c r="J92">
        <f>4/H92</f>
        <v>7.0771408351026188E-2</v>
      </c>
      <c r="K92">
        <f>1/H92</f>
        <v>1.7692852087756547E-2</v>
      </c>
      <c r="L92">
        <f>3*2.8/H92</f>
        <v>0.14861995753715498</v>
      </c>
      <c r="M92">
        <f>(H92-8.5*10/2)/H91</f>
        <v>0.44592547327399185</v>
      </c>
      <c r="N92">
        <f>4.5*1.2/H92</f>
        <v>9.5541401273885343E-2</v>
      </c>
      <c r="O92">
        <v>0</v>
      </c>
      <c r="P92">
        <v>0</v>
      </c>
    </row>
    <row r="93" spans="1:16" x14ac:dyDescent="0.25">
      <c r="A93" t="s">
        <v>256</v>
      </c>
      <c r="B93" s="5">
        <v>26.684999999999999</v>
      </c>
      <c r="C93" s="5">
        <v>-80.099000000000004</v>
      </c>
      <c r="D93" s="5" t="s">
        <v>1232</v>
      </c>
      <c r="E93" s="5">
        <v>1</v>
      </c>
      <c r="F93" s="7">
        <v>1</v>
      </c>
      <c r="G93">
        <f>20.7/2</f>
        <v>10.35</v>
      </c>
      <c r="H93" s="5">
        <f t="shared" si="4"/>
        <v>42.045581250000005</v>
      </c>
      <c r="I93">
        <v>0</v>
      </c>
      <c r="J93">
        <f>1.5/H93</f>
        <v>3.5675568166868898E-2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t="s">
        <v>257</v>
      </c>
      <c r="B94" s="5">
        <v>26.917000000000002</v>
      </c>
      <c r="C94" s="5">
        <v>-81.991</v>
      </c>
      <c r="D94" s="5" t="s">
        <v>1234</v>
      </c>
      <c r="E94" s="5">
        <v>1</v>
      </c>
      <c r="F94" s="7">
        <v>1</v>
      </c>
      <c r="G94">
        <f>23.7/2</f>
        <v>11.85</v>
      </c>
      <c r="H94" s="5">
        <f t="shared" si="4"/>
        <v>55.115831250000006</v>
      </c>
      <c r="I94">
        <f>1.5/H94</f>
        <v>2.7215410998632082E-2</v>
      </c>
      <c r="J94">
        <v>0</v>
      </c>
      <c r="K94">
        <v>0</v>
      </c>
      <c r="L94">
        <v>0</v>
      </c>
      <c r="M94">
        <v>0</v>
      </c>
      <c r="N94">
        <f>2.5/H94</f>
        <v>4.535901833105347E-2</v>
      </c>
      <c r="O94">
        <f>0.3/H94</f>
        <v>5.4430821997264161E-3</v>
      </c>
      <c r="P94">
        <f>0.4/H94</f>
        <v>7.2574429329685559E-3</v>
      </c>
    </row>
    <row r="95" spans="1:16" x14ac:dyDescent="0.25">
      <c r="A95" t="s">
        <v>280</v>
      </c>
      <c r="B95" s="5">
        <v>27.401</v>
      </c>
      <c r="C95" s="5">
        <v>-82.558999999999997</v>
      </c>
      <c r="D95" s="5" t="s">
        <v>1270</v>
      </c>
      <c r="E95" s="5">
        <v>1</v>
      </c>
      <c r="F95" s="7">
        <v>1</v>
      </c>
      <c r="G95">
        <v>12</v>
      </c>
      <c r="H95" s="5">
        <f t="shared" si="4"/>
        <v>56.519999999999996</v>
      </c>
      <c r="I95">
        <f>6*3/2/H95</f>
        <v>0.15923566878980894</v>
      </c>
      <c r="J95">
        <f>5/H95</f>
        <v>8.8464260438782735E-2</v>
      </c>
      <c r="K95">
        <f>2/H95</f>
        <v>3.5385704175513094E-2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t="s">
        <v>275</v>
      </c>
      <c r="B96" s="5">
        <v>27.498000000000001</v>
      </c>
      <c r="C96" s="5">
        <v>-80.376999999999995</v>
      </c>
      <c r="D96" s="5" t="s">
        <v>1265</v>
      </c>
      <c r="E96" s="5">
        <v>1</v>
      </c>
      <c r="F96" s="7">
        <v>1</v>
      </c>
      <c r="G96">
        <f>21.5/2</f>
        <v>10.75</v>
      </c>
      <c r="H96" s="5">
        <f t="shared" si="4"/>
        <v>45.358281250000005</v>
      </c>
      <c r="I96">
        <f>6.5/H96</f>
        <v>0.14330348992225095</v>
      </c>
      <c r="J96">
        <f>7.5*9/2/H96</f>
        <v>0.74407581305784154</v>
      </c>
      <c r="K96">
        <f>5.5*3/2/H96</f>
        <v>0.18188519874747236</v>
      </c>
      <c r="L96">
        <v>0</v>
      </c>
      <c r="M96">
        <f>8.5*2.5/2/H96</f>
        <v>0.23424608929598714</v>
      </c>
      <c r="N96">
        <f>5/H96</f>
        <v>0.11023345378634689</v>
      </c>
      <c r="O96">
        <v>0</v>
      </c>
      <c r="P96">
        <v>0</v>
      </c>
    </row>
    <row r="97" spans="1:16" x14ac:dyDescent="0.25">
      <c r="A97" t="s">
        <v>986</v>
      </c>
      <c r="B97" s="5">
        <v>27.5</v>
      </c>
      <c r="C97" s="5">
        <v>-97.816999999999993</v>
      </c>
      <c r="D97" s="5" t="s">
        <v>1373</v>
      </c>
      <c r="E97" s="5">
        <v>1</v>
      </c>
      <c r="F97" s="7">
        <v>0</v>
      </c>
      <c r="G97">
        <v>11</v>
      </c>
      <c r="H97" s="5">
        <f t="shared" si="4"/>
        <v>47.4925</v>
      </c>
      <c r="I97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</row>
    <row r="98" spans="1:16" x14ac:dyDescent="0.25">
      <c r="A98" t="s">
        <v>989</v>
      </c>
      <c r="B98" s="5">
        <v>27.544</v>
      </c>
      <c r="C98" s="5">
        <v>-99.460999999999999</v>
      </c>
      <c r="D98" s="5" t="s">
        <v>1376</v>
      </c>
      <c r="E98" s="5">
        <v>1</v>
      </c>
      <c r="F98" s="7">
        <v>1</v>
      </c>
      <c r="G98">
        <v>11</v>
      </c>
      <c r="H98" s="5">
        <f t="shared" ref="H98:H112" si="5">3.14*G98*G98/8</f>
        <v>47.4925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25">
      <c r="A99" t="s">
        <v>307</v>
      </c>
      <c r="B99" s="5">
        <v>27.65</v>
      </c>
      <c r="C99" s="5">
        <v>-81.332999999999998</v>
      </c>
      <c r="D99" s="5" t="s">
        <v>2291</v>
      </c>
      <c r="E99" s="5">
        <v>1</v>
      </c>
      <c r="F99" s="7">
        <v>1</v>
      </c>
      <c r="G99">
        <f>20.5/2</f>
        <v>10.25</v>
      </c>
      <c r="H99" s="5">
        <f t="shared" si="5"/>
        <v>41.237031250000001</v>
      </c>
      <c r="I99">
        <f>3*3.5/2/H99</f>
        <v>0.12731275363087638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25">
      <c r="A100" t="s">
        <v>302</v>
      </c>
      <c r="B100" s="1">
        <v>27.65</v>
      </c>
      <c r="C100" s="1">
        <v>-80.417000000000002</v>
      </c>
      <c r="D100" s="1" t="s">
        <v>1239</v>
      </c>
      <c r="E100" s="5">
        <v>1</v>
      </c>
      <c r="F100" s="7">
        <v>1</v>
      </c>
      <c r="G100">
        <f>20.2/2</f>
        <v>10.1</v>
      </c>
      <c r="H100" s="5">
        <f t="shared" si="5"/>
        <v>40.038924999999999</v>
      </c>
      <c r="I100">
        <v>0</v>
      </c>
      <c r="J100">
        <v>0</v>
      </c>
      <c r="K100">
        <f>2/H100</f>
        <v>4.9951391052581957E-2</v>
      </c>
      <c r="L100">
        <v>0</v>
      </c>
      <c r="M100">
        <f>3*2.5/2/H100</f>
        <v>9.3658858223591171E-2</v>
      </c>
      <c r="N100">
        <f>3.5/H100</f>
        <v>8.7414934342018427E-2</v>
      </c>
      <c r="O100">
        <v>0</v>
      </c>
      <c r="P100">
        <v>0</v>
      </c>
    </row>
    <row r="101" spans="1:16" x14ac:dyDescent="0.25">
      <c r="A101" t="s">
        <v>262</v>
      </c>
      <c r="B101" s="1">
        <v>27.655999999999999</v>
      </c>
      <c r="C101" s="1">
        <v>-80.418000000000006</v>
      </c>
      <c r="D101" s="1" t="s">
        <v>1239</v>
      </c>
      <c r="E101" s="5">
        <v>1</v>
      </c>
      <c r="F101" s="7">
        <v>1</v>
      </c>
      <c r="G101">
        <f>20.2/2</f>
        <v>10.1</v>
      </c>
      <c r="H101" s="5">
        <f t="shared" si="5"/>
        <v>40.038924999999999</v>
      </c>
      <c r="I101">
        <v>0</v>
      </c>
      <c r="J101">
        <v>0</v>
      </c>
      <c r="K101">
        <f>2/H101</f>
        <v>4.9951391052581957E-2</v>
      </c>
      <c r="L101">
        <v>0</v>
      </c>
      <c r="M101">
        <f>3*2.5/2/H101</f>
        <v>9.3658858223591171E-2</v>
      </c>
      <c r="N101">
        <f>3.5/H101</f>
        <v>8.7414934342018427E-2</v>
      </c>
      <c r="O101">
        <v>0</v>
      </c>
      <c r="P101">
        <v>0</v>
      </c>
    </row>
    <row r="102" spans="1:16" x14ac:dyDescent="0.25">
      <c r="A102" t="s">
        <v>987</v>
      </c>
      <c r="B102" s="5">
        <v>27.741</v>
      </c>
      <c r="C102" s="5">
        <v>-98.027000000000001</v>
      </c>
      <c r="D102" s="5" t="s">
        <v>1374</v>
      </c>
      <c r="E102" s="5">
        <v>1</v>
      </c>
      <c r="F102" s="7">
        <v>1</v>
      </c>
      <c r="G102">
        <v>11</v>
      </c>
      <c r="H102" s="5">
        <f t="shared" si="5"/>
        <v>47.4925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t="s">
        <v>276</v>
      </c>
      <c r="B103" s="5">
        <v>27.765000000000001</v>
      </c>
      <c r="C103" s="5">
        <v>-82.628</v>
      </c>
      <c r="D103" s="5" t="s">
        <v>1266</v>
      </c>
      <c r="E103" s="5">
        <v>1</v>
      </c>
      <c r="F103" s="7">
        <v>0</v>
      </c>
      <c r="G103">
        <f>21.5/2</f>
        <v>10.75</v>
      </c>
      <c r="H103" s="5">
        <f t="shared" si="5"/>
        <v>45.358281250000005</v>
      </c>
      <c r="I103">
        <v>0</v>
      </c>
      <c r="J103">
        <v>0</v>
      </c>
      <c r="K103">
        <v>0</v>
      </c>
      <c r="L103">
        <f>8*2.5/2/H103</f>
        <v>0.22046690757269377</v>
      </c>
      <c r="M103">
        <f>6*7.5/2/H103</f>
        <v>0.49605054203856097</v>
      </c>
      <c r="N103">
        <f>6/H103</f>
        <v>0.13228014454361625</v>
      </c>
      <c r="O103">
        <f>3*3.5/2/H103</f>
        <v>0.11574512647566423</v>
      </c>
      <c r="P103">
        <v>0</v>
      </c>
    </row>
    <row r="104" spans="1:16" x14ac:dyDescent="0.25">
      <c r="A104" t="s">
        <v>985</v>
      </c>
      <c r="B104" s="5">
        <v>27.773</v>
      </c>
      <c r="C104" s="5">
        <v>-97.513000000000005</v>
      </c>
      <c r="D104" s="5" t="s">
        <v>1372</v>
      </c>
      <c r="E104" s="5">
        <v>1</v>
      </c>
      <c r="F104" s="7">
        <v>1</v>
      </c>
      <c r="G104">
        <f>24.5/2</f>
        <v>12.25</v>
      </c>
      <c r="H104" s="5">
        <f t="shared" si="5"/>
        <v>58.899531250000003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25">
      <c r="A105" t="s">
        <v>301</v>
      </c>
      <c r="B105" s="5">
        <v>27.849</v>
      </c>
      <c r="C105" s="5">
        <v>-82.521000000000001</v>
      </c>
      <c r="D105" s="5" t="s">
        <v>2284</v>
      </c>
      <c r="E105" s="5">
        <v>1</v>
      </c>
      <c r="F105" s="7">
        <v>1</v>
      </c>
      <c r="G105">
        <v>10</v>
      </c>
      <c r="H105" s="5">
        <f t="shared" si="5"/>
        <v>39.25</v>
      </c>
      <c r="I105">
        <f>(H105-4*1.5/2)/H105</f>
        <v>0.92356687898089174</v>
      </c>
      <c r="J105">
        <f>1.5/H105</f>
        <v>3.8216560509554139E-2</v>
      </c>
      <c r="K105">
        <v>0</v>
      </c>
      <c r="L105">
        <f>1.5*6.5/2/H105</f>
        <v>0.12420382165605096</v>
      </c>
      <c r="M105">
        <v>0</v>
      </c>
      <c r="N105">
        <f>2.5*4/2/H105</f>
        <v>0.12738853503184713</v>
      </c>
      <c r="O105">
        <f>(H105-4.5*5.5/2)/H105</f>
        <v>0.6847133757961783</v>
      </c>
      <c r="P105">
        <f>(H105-2)/H105</f>
        <v>0.94904458598726116</v>
      </c>
    </row>
    <row r="106" spans="1:16" x14ac:dyDescent="0.25">
      <c r="A106" t="s">
        <v>988</v>
      </c>
      <c r="B106" s="5">
        <v>27.9</v>
      </c>
      <c r="C106" s="5">
        <v>-98.05</v>
      </c>
      <c r="D106" s="5" t="s">
        <v>1375</v>
      </c>
      <c r="E106">
        <v>1</v>
      </c>
      <c r="F106" s="7">
        <v>1</v>
      </c>
      <c r="G106">
        <v>11</v>
      </c>
      <c r="H106" s="5">
        <f t="shared" si="5"/>
        <v>47.4925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t="s">
        <v>281</v>
      </c>
      <c r="B107" s="5">
        <v>27.911000000000001</v>
      </c>
      <c r="C107" s="5">
        <v>-82.688000000000002</v>
      </c>
      <c r="D107" s="5" t="s">
        <v>1271</v>
      </c>
      <c r="E107">
        <v>1</v>
      </c>
      <c r="F107" s="7">
        <v>1</v>
      </c>
      <c r="G107">
        <v>11.5</v>
      </c>
      <c r="H107" s="5">
        <f t="shared" si="5"/>
        <v>51.908124999999998</v>
      </c>
      <c r="I107">
        <f>7*7/2/H107</f>
        <v>0.47198776684767557</v>
      </c>
      <c r="J107">
        <f>9.5*6.2/2/H107</f>
        <v>0.56734856055771621</v>
      </c>
      <c r="K107">
        <f>6*8/2/H107</f>
        <v>0.46235536344262101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25">
      <c r="A108" t="s">
        <v>279</v>
      </c>
      <c r="B108" s="5">
        <v>27.960999999999999</v>
      </c>
      <c r="C108" s="5">
        <v>-82.54</v>
      </c>
      <c r="D108" s="5" t="s">
        <v>1269</v>
      </c>
      <c r="E108">
        <v>1</v>
      </c>
      <c r="F108" s="7">
        <v>1</v>
      </c>
      <c r="G108">
        <f>24.5/2</f>
        <v>12.25</v>
      </c>
      <c r="H108" s="5">
        <f t="shared" si="5"/>
        <v>58.899531250000003</v>
      </c>
      <c r="I108">
        <f>5*4.5/2/H108</f>
        <v>0.19100321787365668</v>
      </c>
      <c r="J108">
        <f>3/H108</f>
        <v>5.0934191432975111E-2</v>
      </c>
      <c r="K108">
        <f>4*4/2/H108</f>
        <v>0.13582451048793362</v>
      </c>
      <c r="L108">
        <f>4*4.5/2/H108</f>
        <v>0.15280257429892533</v>
      </c>
      <c r="M108">
        <v>0</v>
      </c>
      <c r="N108">
        <v>0</v>
      </c>
      <c r="O108">
        <v>0</v>
      </c>
      <c r="P108">
        <v>0</v>
      </c>
    </row>
    <row r="109" spans="1:16" x14ac:dyDescent="0.25">
      <c r="A109" t="s">
        <v>251</v>
      </c>
      <c r="B109" s="5">
        <v>28.013999999999999</v>
      </c>
      <c r="C109" s="5">
        <v>-82.334000000000003</v>
      </c>
      <c r="D109" s="5" t="s">
        <v>1227</v>
      </c>
      <c r="E109">
        <v>1</v>
      </c>
      <c r="F109" s="7">
        <v>0</v>
      </c>
      <c r="G109">
        <v>12</v>
      </c>
      <c r="H109" s="5">
        <f t="shared" si="5"/>
        <v>56.519999999999996</v>
      </c>
      <c r="I109">
        <f>5*8.5/2/H109</f>
        <v>0.37597310686482666</v>
      </c>
      <c r="J109">
        <f>3.5/H109</f>
        <v>6.1924982307147915E-2</v>
      </c>
      <c r="K109">
        <f>4*6/2/H109</f>
        <v>0.21231422505307856</v>
      </c>
      <c r="L109">
        <f>5.5*5/2/H109</f>
        <v>0.24327671620665253</v>
      </c>
      <c r="M109">
        <f>2/H109</f>
        <v>3.5385704175513094E-2</v>
      </c>
      <c r="N109">
        <v>0</v>
      </c>
      <c r="O109">
        <f>8.5*9/2/H109</f>
        <v>0.67675159235668791</v>
      </c>
      <c r="P109">
        <f>6.5*8.5/2/H109</f>
        <v>0.48876503892427464</v>
      </c>
    </row>
    <row r="110" spans="1:16" x14ac:dyDescent="0.25">
      <c r="A110" t="s">
        <v>249</v>
      </c>
      <c r="B110" s="5">
        <v>28.062000000000001</v>
      </c>
      <c r="C110" s="5">
        <v>-81.754000000000005</v>
      </c>
      <c r="D110" s="5" t="s">
        <v>1224</v>
      </c>
      <c r="E110">
        <v>1</v>
      </c>
      <c r="F110" s="7">
        <v>1</v>
      </c>
      <c r="G110">
        <f>23.5/2</f>
        <v>11.75</v>
      </c>
      <c r="H110" s="5">
        <f t="shared" si="5"/>
        <v>54.189531250000002</v>
      </c>
      <c r="I110">
        <v>0</v>
      </c>
      <c r="J110">
        <v>0</v>
      </c>
      <c r="K110">
        <v>0</v>
      </c>
      <c r="L110">
        <f>8*2.5/2/H110</f>
        <v>0.18453748850244944</v>
      </c>
      <c r="M110">
        <f>7*1.5/2/H110</f>
        <v>9.6882181463785952E-2</v>
      </c>
      <c r="N110">
        <f>8*3.5/2/H110</f>
        <v>0.25835248390342924</v>
      </c>
      <c r="O110">
        <f>6*3.5/2/H110</f>
        <v>0.1937643629275719</v>
      </c>
      <c r="P110">
        <f>1/H110</f>
        <v>1.8453748850244943E-2</v>
      </c>
    </row>
    <row r="111" spans="1:16" x14ac:dyDescent="0.25">
      <c r="A111" t="s">
        <v>991</v>
      </c>
      <c r="B111" s="5">
        <v>28.084</v>
      </c>
      <c r="C111" s="5">
        <v>-97.046000000000006</v>
      </c>
      <c r="D111" s="5" t="s">
        <v>1378</v>
      </c>
      <c r="E111">
        <v>1</v>
      </c>
      <c r="F111" s="7">
        <v>1</v>
      </c>
      <c r="G111">
        <f>24.4/2</f>
        <v>12.2</v>
      </c>
      <c r="H111" s="5">
        <f t="shared" si="5"/>
        <v>58.419699999999999</v>
      </c>
      <c r="I111">
        <v>0</v>
      </c>
      <c r="J111">
        <v>0</v>
      </c>
      <c r="K111">
        <v>0</v>
      </c>
      <c r="L111">
        <f>5/H111</f>
        <v>8.5587567207637147E-2</v>
      </c>
      <c r="M111">
        <f>8.5*11/2/H111</f>
        <v>0.80024375339140741</v>
      </c>
      <c r="N111">
        <f>9*10.5/2/H111</f>
        <v>0.80880251011217108</v>
      </c>
      <c r="O111">
        <f>9.5*10.5/2/H111</f>
        <v>0.85373598289618058</v>
      </c>
      <c r="P111">
        <f>9*2.5/2/H111</f>
        <v>0.19257202621718358</v>
      </c>
    </row>
    <row r="112" spans="1:16" x14ac:dyDescent="0.25">
      <c r="A112" t="s">
        <v>261</v>
      </c>
      <c r="B112" s="5">
        <v>28.103000000000002</v>
      </c>
      <c r="C112" s="5">
        <v>-80.646000000000001</v>
      </c>
      <c r="D112" s="5" t="s">
        <v>1238</v>
      </c>
      <c r="E112">
        <v>1</v>
      </c>
      <c r="F112" s="7">
        <v>1</v>
      </c>
      <c r="G112">
        <f>21/2</f>
        <v>10.5</v>
      </c>
      <c r="H112" s="5">
        <f t="shared" si="5"/>
        <v>43.273125</v>
      </c>
      <c r="I112">
        <v>0</v>
      </c>
      <c r="J112">
        <v>0</v>
      </c>
      <c r="K112">
        <v>0</v>
      </c>
      <c r="L112">
        <f>5/H112</f>
        <v>0.11554515649147132</v>
      </c>
      <c r="M112">
        <f>0.8/H112</f>
        <v>1.8487225038635414E-2</v>
      </c>
      <c r="N112">
        <v>0</v>
      </c>
      <c r="O112">
        <f>4.5/H112</f>
        <v>0.10399064084232419</v>
      </c>
      <c r="P112">
        <v>0</v>
      </c>
    </row>
    <row r="113" spans="1:16" x14ac:dyDescent="0.25">
      <c r="A113" t="s">
        <v>269</v>
      </c>
      <c r="B113" s="5">
        <v>28.187999999999999</v>
      </c>
      <c r="C113" s="5">
        <v>-82.626000000000005</v>
      </c>
      <c r="D113" s="5" t="s">
        <v>1248</v>
      </c>
      <c r="E113" s="5">
        <v>1</v>
      </c>
      <c r="F113" s="7">
        <v>0</v>
      </c>
      <c r="G113">
        <f>20.2/2</f>
        <v>10.1</v>
      </c>
      <c r="H113" s="5">
        <f t="shared" ref="H113:H176" si="6">3.14*G113*G113/8</f>
        <v>40.038924999999999</v>
      </c>
      <c r="I113">
        <f>6/H113</f>
        <v>0.14985417315774588</v>
      </c>
      <c r="J113">
        <f>3/H113</f>
        <v>7.492708657887294E-2</v>
      </c>
      <c r="K113">
        <v>0</v>
      </c>
      <c r="L113">
        <f>4/H113</f>
        <v>9.9902782105163915E-2</v>
      </c>
      <c r="M113">
        <f>7.5*3/2/H113</f>
        <v>0.28097657467077353</v>
      </c>
      <c r="N113">
        <f>5*3/2/H113</f>
        <v>0.18731771644718234</v>
      </c>
      <c r="O113">
        <f>3*5/2/H113</f>
        <v>0.18731771644718234</v>
      </c>
      <c r="P113">
        <v>0</v>
      </c>
    </row>
    <row r="114" spans="1:16" x14ac:dyDescent="0.25">
      <c r="A114" t="s">
        <v>333</v>
      </c>
      <c r="B114" s="5">
        <v>28.204000000000001</v>
      </c>
      <c r="C114" s="5">
        <v>-177.37899999999999</v>
      </c>
      <c r="D114" s="5" t="s">
        <v>2292</v>
      </c>
      <c r="E114" s="5">
        <v>1</v>
      </c>
      <c r="F114" s="7">
        <v>0</v>
      </c>
      <c r="G114">
        <f>24.5/2</f>
        <v>12.25</v>
      </c>
      <c r="H114" s="5">
        <f t="shared" si="6"/>
        <v>58.899531250000003</v>
      </c>
      <c r="I114">
        <v>0</v>
      </c>
      <c r="J114">
        <f>3.5/H114</f>
        <v>5.9423223338470964E-2</v>
      </c>
      <c r="K114">
        <v>0</v>
      </c>
      <c r="L114">
        <v>0</v>
      </c>
      <c r="M114">
        <v>0</v>
      </c>
      <c r="N114">
        <v>0</v>
      </c>
      <c r="O114">
        <f>3.5/H114</f>
        <v>5.9423223338470964E-2</v>
      </c>
      <c r="P114">
        <f>2.8/H114</f>
        <v>4.7538578670776765E-2</v>
      </c>
    </row>
    <row r="115" spans="1:16" x14ac:dyDescent="0.25">
      <c r="A115" t="s">
        <v>306</v>
      </c>
      <c r="B115" s="5">
        <v>28.239000000000001</v>
      </c>
      <c r="C115" s="5">
        <v>-81.608000000000004</v>
      </c>
      <c r="D115" s="5" t="s">
        <v>2290</v>
      </c>
      <c r="E115" s="5">
        <v>1</v>
      </c>
      <c r="F115" s="7">
        <v>0</v>
      </c>
      <c r="G115">
        <v>11</v>
      </c>
      <c r="H115" s="5">
        <f t="shared" si="6"/>
        <v>47.4925</v>
      </c>
      <c r="I11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</row>
    <row r="116" spans="1:16" x14ac:dyDescent="0.25">
      <c r="A116" t="s">
        <v>1005</v>
      </c>
      <c r="B116" s="5">
        <v>28.367000000000001</v>
      </c>
      <c r="C116" s="5">
        <v>-97.667000000000002</v>
      </c>
      <c r="D116" s="5" t="s">
        <v>1391</v>
      </c>
      <c r="E116" s="5">
        <v>1</v>
      </c>
      <c r="F116" s="7">
        <v>0</v>
      </c>
      <c r="G116">
        <f>19/2</f>
        <v>9.5</v>
      </c>
      <c r="H116" s="5">
        <f t="shared" si="6"/>
        <v>35.423124999999999</v>
      </c>
      <c r="I116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</row>
    <row r="117" spans="1:16" x14ac:dyDescent="0.25">
      <c r="A117" t="s">
        <v>264</v>
      </c>
      <c r="B117" s="5">
        <v>28.434000000000001</v>
      </c>
      <c r="C117" s="5">
        <v>-81.325000000000003</v>
      </c>
      <c r="D117" s="5" t="s">
        <v>1241</v>
      </c>
      <c r="E117" s="5">
        <v>1</v>
      </c>
      <c r="F117" s="7">
        <v>1</v>
      </c>
      <c r="G117">
        <f>18.6/2</f>
        <v>9.3000000000000007</v>
      </c>
      <c r="H117" s="5">
        <f t="shared" si="6"/>
        <v>33.947325000000006</v>
      </c>
      <c r="I117">
        <f>4.5/H117</f>
        <v>0.13255830908620927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x14ac:dyDescent="0.25">
      <c r="A118" t="s">
        <v>992</v>
      </c>
      <c r="B118" s="5">
        <v>28.457999999999998</v>
      </c>
      <c r="C118" s="5">
        <v>-99.22</v>
      </c>
      <c r="D118" s="5" t="s">
        <v>1379</v>
      </c>
      <c r="E118" s="5">
        <v>1</v>
      </c>
      <c r="F118" s="7">
        <v>1</v>
      </c>
      <c r="G118">
        <v>11</v>
      </c>
      <c r="H118" s="5">
        <f t="shared" si="6"/>
        <v>47.4925</v>
      </c>
      <c r="I118">
        <f>6*4.5/2/H118</f>
        <v>0.28425540874874983</v>
      </c>
      <c r="J118">
        <f>(H118-5.5*7/2)/H118</f>
        <v>0.5946728430804864</v>
      </c>
      <c r="K118">
        <f>4/H118</f>
        <v>8.422382481444439E-2</v>
      </c>
      <c r="L118">
        <f>10*3/2/H118</f>
        <v>0.31583934305416644</v>
      </c>
      <c r="M118">
        <f>4*8.5/2/H118</f>
        <v>0.35795125546138862</v>
      </c>
      <c r="N118">
        <f>7*3/2/H118</f>
        <v>0.22108754013791651</v>
      </c>
      <c r="O118">
        <f>5.5*3.5/2/H118</f>
        <v>0.2026635784597568</v>
      </c>
      <c r="P118">
        <f>4/H118</f>
        <v>8.422382481444439E-2</v>
      </c>
    </row>
    <row r="119" spans="1:16" x14ac:dyDescent="0.25">
      <c r="A119" t="s">
        <v>303</v>
      </c>
      <c r="B119" s="5">
        <v>28.466999999999999</v>
      </c>
      <c r="C119" s="5">
        <v>-80.55</v>
      </c>
      <c r="D119" s="5" t="s">
        <v>2288</v>
      </c>
      <c r="E119" s="5">
        <v>1</v>
      </c>
      <c r="F119" s="7">
        <v>0</v>
      </c>
      <c r="G119">
        <v>10.5</v>
      </c>
      <c r="H119" s="5">
        <f t="shared" si="6"/>
        <v>43.273125</v>
      </c>
      <c r="I119">
        <f>2/H119</f>
        <v>4.6218062596588526E-2</v>
      </c>
      <c r="J119">
        <f>6.5*4/2/H119</f>
        <v>0.30041740687782542</v>
      </c>
      <c r="K119">
        <f>9*7.5/2/H119</f>
        <v>0.77992980631743147</v>
      </c>
      <c r="L119">
        <f>3.5/H119</f>
        <v>8.0881609544029925E-2</v>
      </c>
      <c r="M119">
        <f>9*9/2/H119</f>
        <v>0.93591576758091766</v>
      </c>
      <c r="N119">
        <f>(H119-3.5*4/2)/H119</f>
        <v>0.83823678091194009</v>
      </c>
      <c r="O119">
        <f>8*6.5/2/H119</f>
        <v>0.60083481375565084</v>
      </c>
      <c r="P119">
        <f>4*1.4/H119</f>
        <v>0.12941057527044789</v>
      </c>
    </row>
    <row r="120" spans="1:16" x14ac:dyDescent="0.25">
      <c r="A120" t="s">
        <v>246</v>
      </c>
      <c r="B120" s="5">
        <v>28.474</v>
      </c>
      <c r="C120" s="5">
        <v>-82.453999999999994</v>
      </c>
      <c r="D120" s="5" t="s">
        <v>1221</v>
      </c>
      <c r="E120" s="5">
        <v>1</v>
      </c>
      <c r="F120" s="7">
        <v>1</v>
      </c>
      <c r="G120">
        <f>20.5/2</f>
        <v>10.25</v>
      </c>
      <c r="H120" s="5">
        <f t="shared" si="6"/>
        <v>41.237031250000001</v>
      </c>
      <c r="I120">
        <v>0</v>
      </c>
      <c r="J120">
        <v>0</v>
      </c>
      <c r="K120">
        <v>0</v>
      </c>
      <c r="L120">
        <v>0</v>
      </c>
      <c r="M120">
        <f>4/H120</f>
        <v>9.7000193242572474E-2</v>
      </c>
      <c r="N120">
        <f>2*5/H120</f>
        <v>0.24250048310643119</v>
      </c>
      <c r="O120">
        <v>0</v>
      </c>
      <c r="P120">
        <v>0</v>
      </c>
    </row>
    <row r="121" spans="1:16" x14ac:dyDescent="0.25">
      <c r="A121" t="s">
        <v>265</v>
      </c>
      <c r="B121" s="4">
        <v>28.545000000000002</v>
      </c>
      <c r="C121" s="4">
        <v>-81.332999999999998</v>
      </c>
      <c r="D121" s="5" t="s">
        <v>1242</v>
      </c>
      <c r="E121" s="5">
        <v>1</v>
      </c>
      <c r="F121" s="7">
        <v>1</v>
      </c>
      <c r="G121">
        <f>19.5/2</f>
        <v>9.75</v>
      </c>
      <c r="H121" s="5">
        <f t="shared" si="6"/>
        <v>37.312031250000004</v>
      </c>
      <c r="I121">
        <f>5.2/H121</f>
        <v>0.13936523490663616</v>
      </c>
      <c r="J121">
        <f>2.4/H121</f>
        <v>6.4322416110755148E-2</v>
      </c>
      <c r="K121">
        <v>0</v>
      </c>
      <c r="L121">
        <f>0.3/H121</f>
        <v>8.0403020138443936E-3</v>
      </c>
      <c r="M121">
        <f>5/H121</f>
        <v>0.13400503356407323</v>
      </c>
      <c r="N121">
        <f>4/H121</f>
        <v>0.10720402685125859</v>
      </c>
      <c r="O121">
        <f>3.5*3/2/H121</f>
        <v>0.14070528524227691</v>
      </c>
      <c r="P121">
        <f>2.5*2/H121</f>
        <v>0.13400503356407323</v>
      </c>
    </row>
    <row r="122" spans="1:16" x14ac:dyDescent="0.25">
      <c r="A122" t="s">
        <v>305</v>
      </c>
      <c r="B122" s="1">
        <v>28.614999999999998</v>
      </c>
      <c r="C122" s="1">
        <v>-80.694000000000003</v>
      </c>
      <c r="D122" s="5" t="s">
        <v>2289</v>
      </c>
      <c r="E122">
        <v>1</v>
      </c>
      <c r="F122" s="7">
        <v>0</v>
      </c>
      <c r="G122">
        <f>21/2</f>
        <v>10.5</v>
      </c>
      <c r="H122" s="5">
        <f t="shared" si="6"/>
        <v>43.273125</v>
      </c>
      <c r="I122">
        <f>7/G122</f>
        <v>0.66666666666666663</v>
      </c>
      <c r="J122">
        <f>7*4/2/H122</f>
        <v>0.3235264381761197</v>
      </c>
      <c r="K122">
        <f>4.3*3/2/H122</f>
        <v>0.14905325187399798</v>
      </c>
      <c r="L122">
        <f>5.5*3.5/2/H122</f>
        <v>0.2224244262460823</v>
      </c>
      <c r="M122">
        <v>0</v>
      </c>
      <c r="N122">
        <f>5.5*6.5/2/H122</f>
        <v>0.41307393445700996</v>
      </c>
      <c r="O122">
        <f>8/H122</f>
        <v>0.1848722503863541</v>
      </c>
      <c r="P122">
        <v>0</v>
      </c>
    </row>
    <row r="123" spans="1:16" x14ac:dyDescent="0.25">
      <c r="A123" t="s">
        <v>304</v>
      </c>
      <c r="B123" s="1">
        <v>28.617000000000001</v>
      </c>
      <c r="C123" s="1">
        <v>-80.7</v>
      </c>
      <c r="D123" s="5" t="s">
        <v>2327</v>
      </c>
      <c r="E123" s="5">
        <v>1</v>
      </c>
      <c r="F123" s="7">
        <v>0</v>
      </c>
      <c r="G123" s="5">
        <f>21/2</f>
        <v>10.5</v>
      </c>
      <c r="H123" s="5">
        <f t="shared" si="6"/>
        <v>43.273125</v>
      </c>
      <c r="I123" s="5">
        <f>7/G123</f>
        <v>0.66666666666666663</v>
      </c>
      <c r="J123" s="5">
        <f>7*4/2/H123</f>
        <v>0.3235264381761197</v>
      </c>
      <c r="K123" s="5">
        <f>4.3*3/2/H123</f>
        <v>0.14905325187399798</v>
      </c>
      <c r="L123" s="5">
        <f>5.5*3.5/2/H123</f>
        <v>0.2224244262460823</v>
      </c>
      <c r="M123" s="5">
        <v>0</v>
      </c>
      <c r="N123" s="5">
        <f>5.5*6.5/2/H123</f>
        <v>0.41307393445700996</v>
      </c>
      <c r="O123" s="5">
        <f>8/H123</f>
        <v>0.1848722503863541</v>
      </c>
      <c r="P123" s="5">
        <v>0</v>
      </c>
    </row>
    <row r="124" spans="1:16" x14ac:dyDescent="0.25">
      <c r="A124" t="s">
        <v>267</v>
      </c>
      <c r="B124" s="5">
        <v>28.78</v>
      </c>
      <c r="C124" s="5">
        <v>-81.244</v>
      </c>
      <c r="D124" s="5" t="s">
        <v>1246</v>
      </c>
      <c r="E124" s="5">
        <v>1</v>
      </c>
      <c r="F124" s="7">
        <v>1</v>
      </c>
      <c r="G124">
        <v>10</v>
      </c>
      <c r="H124" s="5">
        <f t="shared" si="6"/>
        <v>39.25</v>
      </c>
      <c r="I124">
        <v>0</v>
      </c>
      <c r="J124">
        <v>0</v>
      </c>
      <c r="K124">
        <v>0</v>
      </c>
      <c r="L124">
        <f>0.5/H124</f>
        <v>1.2738853503184714E-2</v>
      </c>
      <c r="M124">
        <f>8/H124</f>
        <v>0.20382165605095542</v>
      </c>
      <c r="N124">
        <v>0</v>
      </c>
      <c r="O124">
        <v>0</v>
      </c>
      <c r="P124">
        <v>0</v>
      </c>
    </row>
    <row r="125" spans="1:16" x14ac:dyDescent="0.25">
      <c r="A125" t="s">
        <v>288</v>
      </c>
      <c r="B125" s="5">
        <v>28.821000000000002</v>
      </c>
      <c r="C125" s="5">
        <v>-81.81</v>
      </c>
      <c r="D125" s="5" t="s">
        <v>1299</v>
      </c>
      <c r="E125" s="5">
        <v>1</v>
      </c>
      <c r="F125" s="7">
        <v>1</v>
      </c>
      <c r="G125">
        <v>10.5</v>
      </c>
      <c r="H125" s="5">
        <f t="shared" si="6"/>
        <v>43.273125</v>
      </c>
      <c r="I125">
        <v>0</v>
      </c>
      <c r="J125">
        <f>0.5/H125</f>
        <v>1.1554515649147131E-2</v>
      </c>
      <c r="K125">
        <f>2.5/H125</f>
        <v>5.7772578245735659E-2</v>
      </c>
      <c r="L125">
        <f>5.5/H125</f>
        <v>0.12709967214061846</v>
      </c>
      <c r="M125">
        <v>0</v>
      </c>
      <c r="N125">
        <f>4/H125</f>
        <v>9.2436125193177052E-2</v>
      </c>
      <c r="O125">
        <f>2/H125</f>
        <v>4.6218062596588526E-2</v>
      </c>
      <c r="P125">
        <f>5.5/H125</f>
        <v>0.12709967214061846</v>
      </c>
    </row>
    <row r="126" spans="1:16" x14ac:dyDescent="0.25">
      <c r="A126" t="s">
        <v>1004</v>
      </c>
      <c r="B126" s="5">
        <v>28.863</v>
      </c>
      <c r="C126" s="5">
        <v>-96.93</v>
      </c>
      <c r="D126" s="5" t="s">
        <v>1390</v>
      </c>
      <c r="E126" s="5">
        <v>1</v>
      </c>
      <c r="F126" s="7">
        <v>1</v>
      </c>
      <c r="G126">
        <f>20.5/2</f>
        <v>10.25</v>
      </c>
      <c r="H126" s="5">
        <f t="shared" si="6"/>
        <v>41.237031250000001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t="s">
        <v>993</v>
      </c>
      <c r="B127" s="5">
        <v>29.11</v>
      </c>
      <c r="C127" s="5">
        <v>-95.462000000000003</v>
      </c>
      <c r="D127" s="5" t="s">
        <v>1380</v>
      </c>
      <c r="E127" s="5">
        <v>1</v>
      </c>
      <c r="F127" s="7">
        <v>1</v>
      </c>
      <c r="G127">
        <v>12</v>
      </c>
      <c r="H127" s="5">
        <f t="shared" si="6"/>
        <v>56.519999999999996</v>
      </c>
      <c r="I127">
        <f>4.5/H127</f>
        <v>7.9617834394904469E-2</v>
      </c>
      <c r="J127">
        <f>1/H127</f>
        <v>1.7692852087756547E-2</v>
      </c>
      <c r="K127">
        <f>2.4/H127</f>
        <v>4.2462845010615716E-2</v>
      </c>
      <c r="L127">
        <f>2/H127</f>
        <v>3.5385704175513094E-2</v>
      </c>
      <c r="M127">
        <f>1/H127</f>
        <v>1.7692852087756547E-2</v>
      </c>
      <c r="N127">
        <f>(H127-9.5*2.5/2)/H127</f>
        <v>0.78989738145789101</v>
      </c>
      <c r="O127">
        <f>(H127-2.5*3/2)/H127</f>
        <v>0.93365180467091291</v>
      </c>
      <c r="P127">
        <f>7*2.2/2/H127</f>
        <v>0.13623496107572544</v>
      </c>
    </row>
    <row r="128" spans="1:16" x14ac:dyDescent="0.25">
      <c r="A128" t="s">
        <v>266</v>
      </c>
      <c r="B128">
        <v>29.177</v>
      </c>
      <c r="C128">
        <v>-81.06</v>
      </c>
      <c r="D128" t="s">
        <v>1245</v>
      </c>
      <c r="E128" s="5">
        <v>1</v>
      </c>
      <c r="F128" s="7">
        <v>1</v>
      </c>
      <c r="G128">
        <f>23/2</f>
        <v>11.5</v>
      </c>
      <c r="H128" s="5">
        <f t="shared" si="6"/>
        <v>51.908124999999998</v>
      </c>
      <c r="I128">
        <f>1.5/H128</f>
        <v>2.8897210215163813E-2</v>
      </c>
      <c r="J128">
        <v>0</v>
      </c>
      <c r="K128">
        <f>4*5/2/H128</f>
        <v>0.19264806810109208</v>
      </c>
      <c r="L128">
        <f>5*5/2/H128</f>
        <v>0.24081008512636509</v>
      </c>
      <c r="M128">
        <f>3.5*3/H128</f>
        <v>0.2022804715061467</v>
      </c>
      <c r="N128">
        <f>3/H128</f>
        <v>5.7794420430327627E-2</v>
      </c>
      <c r="O128">
        <v>0</v>
      </c>
      <c r="P128">
        <f>1/H128</f>
        <v>1.9264806810109208E-2</v>
      </c>
    </row>
    <row r="129" spans="1:16" x14ac:dyDescent="0.25">
      <c r="A129" t="s">
        <v>965</v>
      </c>
      <c r="B129" s="1">
        <v>29.265000000000001</v>
      </c>
      <c r="C129" s="1">
        <v>-94.86</v>
      </c>
      <c r="D129" s="1" t="s">
        <v>2318</v>
      </c>
      <c r="E129" s="5">
        <v>1</v>
      </c>
      <c r="F129" s="7">
        <v>1</v>
      </c>
      <c r="G129" s="5">
        <v>11.5</v>
      </c>
      <c r="H129" s="5">
        <f t="shared" si="6"/>
        <v>51.908124999999998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</row>
    <row r="130" spans="1:16" x14ac:dyDescent="0.25">
      <c r="A130" t="s">
        <v>966</v>
      </c>
      <c r="B130" s="1">
        <v>29.265000000000001</v>
      </c>
      <c r="C130" s="1">
        <v>-94.86</v>
      </c>
      <c r="D130" s="1" t="s">
        <v>2318</v>
      </c>
      <c r="E130" s="5">
        <v>1</v>
      </c>
      <c r="F130" s="7">
        <v>1</v>
      </c>
      <c r="G130" s="5">
        <v>11.5</v>
      </c>
      <c r="H130" s="5">
        <f t="shared" si="6"/>
        <v>51.908124999999998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</row>
    <row r="131" spans="1:16" x14ac:dyDescent="0.25">
      <c r="A131" t="s">
        <v>964</v>
      </c>
      <c r="B131" s="1">
        <v>29.265000000000001</v>
      </c>
      <c r="C131" s="1">
        <v>-94.86</v>
      </c>
      <c r="D131" s="1" t="s">
        <v>1348</v>
      </c>
      <c r="E131" s="5">
        <v>1</v>
      </c>
      <c r="F131" s="7">
        <v>1</v>
      </c>
      <c r="G131">
        <v>11.5</v>
      </c>
      <c r="H131" s="5">
        <f t="shared" si="6"/>
        <v>51.908124999999998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t="s">
        <v>990</v>
      </c>
      <c r="B132" s="5">
        <v>29.337</v>
      </c>
      <c r="C132" s="5">
        <v>-98.471000000000004</v>
      </c>
      <c r="D132" s="5" t="s">
        <v>1377</v>
      </c>
      <c r="E132" s="5">
        <v>1</v>
      </c>
      <c r="F132" s="7">
        <v>1</v>
      </c>
      <c r="G132">
        <v>10</v>
      </c>
      <c r="H132" s="5">
        <f t="shared" si="6"/>
        <v>39.25</v>
      </c>
      <c r="I132">
        <f>7.5/H132</f>
        <v>0.19108280254777071</v>
      </c>
      <c r="J132">
        <f>7*3/2/H132</f>
        <v>0.26751592356687898</v>
      </c>
      <c r="K132">
        <f>4*0.6/H132</f>
        <v>6.1146496815286625E-2</v>
      </c>
      <c r="L132">
        <v>0</v>
      </c>
      <c r="M132">
        <f>7*2.5/2/H132</f>
        <v>0.22292993630573249</v>
      </c>
      <c r="N132">
        <f>4*1.5/2/H132</f>
        <v>7.6433121019108277E-2</v>
      </c>
      <c r="O132">
        <f>1.5/H132</f>
        <v>3.8216560509554139E-2</v>
      </c>
      <c r="P132">
        <f>3*7/2/H132</f>
        <v>0.26751592356687898</v>
      </c>
    </row>
    <row r="133" spans="1:16" x14ac:dyDescent="0.25">
      <c r="A133" t="s">
        <v>1023</v>
      </c>
      <c r="B133" s="5">
        <v>29.359000000000002</v>
      </c>
      <c r="C133" s="5">
        <v>-100.77800000000001</v>
      </c>
      <c r="D133" s="5" t="s">
        <v>1408</v>
      </c>
      <c r="E133" s="5">
        <v>1</v>
      </c>
      <c r="F133" s="7">
        <v>1</v>
      </c>
      <c r="G133">
        <v>12</v>
      </c>
      <c r="H133" s="5">
        <f t="shared" si="6"/>
        <v>56.519999999999996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t="s">
        <v>995</v>
      </c>
      <c r="B134" s="5">
        <v>29.359000000000002</v>
      </c>
      <c r="C134" s="5">
        <v>-99.174000000000007</v>
      </c>
      <c r="D134" s="5" t="s">
        <v>1382</v>
      </c>
      <c r="E134" s="5">
        <v>1</v>
      </c>
      <c r="F134" s="7">
        <v>0</v>
      </c>
      <c r="G134">
        <f>24.5/2</f>
        <v>12.25</v>
      </c>
      <c r="H134" s="5">
        <f t="shared" si="6"/>
        <v>58.899531250000003</v>
      </c>
      <c r="I13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</row>
    <row r="135" spans="1:16" x14ac:dyDescent="0.25">
      <c r="A135" t="s">
        <v>1022</v>
      </c>
      <c r="B135" s="5">
        <v>29.367000000000001</v>
      </c>
      <c r="C135" s="5">
        <v>-100.917</v>
      </c>
      <c r="D135" s="5" t="s">
        <v>1407</v>
      </c>
      <c r="E135" s="5">
        <v>1</v>
      </c>
      <c r="F135" s="7">
        <v>0</v>
      </c>
      <c r="G135">
        <f>19.5/2</f>
        <v>9.75</v>
      </c>
      <c r="H135" s="5">
        <f t="shared" si="6"/>
        <v>37.312031250000004</v>
      </c>
      <c r="I135">
        <f>2.5/H135</f>
        <v>6.7002516782036614E-2</v>
      </c>
      <c r="J135">
        <f>5/H135</f>
        <v>0.13400503356407323</v>
      </c>
      <c r="K135">
        <f>1/H135</f>
        <v>2.6801006712814646E-2</v>
      </c>
      <c r="L135">
        <v>0</v>
      </c>
      <c r="M135">
        <f>5*1.4/2/H135</f>
        <v>9.3803523494851271E-2</v>
      </c>
      <c r="N135">
        <f>2.5*3/2/H135</f>
        <v>0.10050377517305492</v>
      </c>
      <c r="O135">
        <f>2/H135</f>
        <v>5.3602013425629293E-2</v>
      </c>
      <c r="P135">
        <v>0</v>
      </c>
    </row>
    <row r="136" spans="1:16" x14ac:dyDescent="0.25">
      <c r="A136" t="s">
        <v>996</v>
      </c>
      <c r="B136" s="5">
        <v>29.384</v>
      </c>
      <c r="C136" s="5">
        <v>-98.581000000000003</v>
      </c>
      <c r="D136" s="5" t="s">
        <v>1383</v>
      </c>
      <c r="E136" s="5">
        <v>1</v>
      </c>
      <c r="F136" s="7">
        <v>0</v>
      </c>
      <c r="G136">
        <v>11</v>
      </c>
      <c r="H136" s="5">
        <f t="shared" si="6"/>
        <v>47.4925</v>
      </c>
      <c r="I136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</row>
    <row r="137" spans="1:16" x14ac:dyDescent="0.25">
      <c r="A137" t="s">
        <v>967</v>
      </c>
      <c r="B137" s="5">
        <v>29.521000000000001</v>
      </c>
      <c r="C137" s="5">
        <v>-95.24</v>
      </c>
      <c r="D137" s="5" t="s">
        <v>1349</v>
      </c>
      <c r="E137" s="5">
        <v>1</v>
      </c>
      <c r="F137" s="7">
        <v>0</v>
      </c>
      <c r="G137">
        <f>24.8/2</f>
        <v>12.4</v>
      </c>
      <c r="H137" s="5">
        <f t="shared" si="6"/>
        <v>60.3508</v>
      </c>
      <c r="I137">
        <f>2/H137</f>
        <v>3.3139577271552326E-2</v>
      </c>
      <c r="J137">
        <v>0</v>
      </c>
      <c r="K137">
        <v>0</v>
      </c>
      <c r="L137">
        <f>4/H137</f>
        <v>6.6279154543104651E-2</v>
      </c>
      <c r="M137">
        <f>2/H137</f>
        <v>3.3139577271552326E-2</v>
      </c>
      <c r="N137">
        <f>3/H137</f>
        <v>4.9709365907328489E-2</v>
      </c>
      <c r="O137">
        <f>0.5/H137</f>
        <v>8.2848943178880814E-3</v>
      </c>
      <c r="P137">
        <v>0</v>
      </c>
    </row>
    <row r="138" spans="1:16" x14ac:dyDescent="0.25">
      <c r="A138" t="s">
        <v>997</v>
      </c>
      <c r="B138" s="5">
        <v>29.529</v>
      </c>
      <c r="C138" s="5">
        <v>-98.278999999999996</v>
      </c>
      <c r="D138" s="5" t="s">
        <v>1384</v>
      </c>
      <c r="E138" s="5">
        <v>1</v>
      </c>
      <c r="F138" s="7">
        <v>0</v>
      </c>
      <c r="G138">
        <f>22.6/2</f>
        <v>11.3</v>
      </c>
      <c r="H138" s="5">
        <f t="shared" si="6"/>
        <v>50.118325000000013</v>
      </c>
      <c r="I138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</row>
    <row r="139" spans="1:16" x14ac:dyDescent="0.25">
      <c r="A139" t="s">
        <v>994</v>
      </c>
      <c r="B139" s="5">
        <v>29.533000000000001</v>
      </c>
      <c r="C139" s="5">
        <v>-98.463999999999999</v>
      </c>
      <c r="D139" s="5" t="s">
        <v>1381</v>
      </c>
      <c r="E139" s="5">
        <v>1</v>
      </c>
      <c r="F139" s="7">
        <v>1</v>
      </c>
      <c r="G139">
        <f>18.5/2</f>
        <v>9.25</v>
      </c>
      <c r="H139" s="5">
        <f t="shared" si="6"/>
        <v>33.583281249999999</v>
      </c>
      <c r="I139">
        <v>0</v>
      </c>
      <c r="J139">
        <f>5/H139</f>
        <v>0.14888360558871835</v>
      </c>
      <c r="K139">
        <f>3.5/H139</f>
        <v>0.10421852391210285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t="s">
        <v>282</v>
      </c>
      <c r="B140" s="5">
        <v>29.55</v>
      </c>
      <c r="C140" s="5">
        <v>-83.105000000000004</v>
      </c>
      <c r="D140" s="5" t="s">
        <v>1272</v>
      </c>
      <c r="E140">
        <v>1</v>
      </c>
      <c r="F140" s="7">
        <v>1</v>
      </c>
      <c r="G140">
        <f>19.8/2</f>
        <v>9.9</v>
      </c>
      <c r="H140" s="5">
        <f t="shared" si="6"/>
        <v>38.468925000000006</v>
      </c>
      <c r="I140">
        <f>3.5/H140</f>
        <v>9.0982526805726952E-2</v>
      </c>
      <c r="J140">
        <f>7*5/2/H140</f>
        <v>0.45491263402863474</v>
      </c>
      <c r="K140">
        <f>7*4.5/2/H140</f>
        <v>0.40942137062577127</v>
      </c>
      <c r="L140">
        <f>6*3.5/2/H140</f>
        <v>0.27294758041718081</v>
      </c>
      <c r="M140">
        <v>0</v>
      </c>
      <c r="N140">
        <f>0.5/H140</f>
        <v>1.2997503829389565E-2</v>
      </c>
      <c r="O140">
        <v>0</v>
      </c>
      <c r="P140">
        <f>6/H140</f>
        <v>0.15597004595267477</v>
      </c>
    </row>
    <row r="141" spans="1:16" x14ac:dyDescent="0.25">
      <c r="A141" t="s">
        <v>443</v>
      </c>
      <c r="B141" s="5">
        <v>29.562000000000001</v>
      </c>
      <c r="C141" s="5">
        <v>-91.525999999999996</v>
      </c>
      <c r="D141" s="5" t="s">
        <v>1343</v>
      </c>
      <c r="E141">
        <v>1</v>
      </c>
      <c r="F141" s="7">
        <v>1</v>
      </c>
      <c r="G141">
        <v>12</v>
      </c>
      <c r="H141" s="5">
        <f t="shared" si="6"/>
        <v>56.519999999999996</v>
      </c>
      <c r="I141">
        <f>0.8/H141</f>
        <v>1.415428167020524E-2</v>
      </c>
      <c r="J141">
        <v>0</v>
      </c>
      <c r="K141">
        <v>0</v>
      </c>
      <c r="L141">
        <v>0</v>
      </c>
      <c r="M141">
        <f>7.5*6/2/H141</f>
        <v>0.39808917197452232</v>
      </c>
      <c r="N141">
        <f>9*3/2/H141</f>
        <v>0.23885350318471341</v>
      </c>
      <c r="O141">
        <f>2.5*9/2/H141</f>
        <v>0.19904458598726116</v>
      </c>
      <c r="P141">
        <f>5/H141</f>
        <v>8.8464260438782735E-2</v>
      </c>
    </row>
    <row r="142" spans="1:16" x14ac:dyDescent="0.25">
      <c r="A142" t="s">
        <v>971</v>
      </c>
      <c r="B142" s="5">
        <v>29.606999999999999</v>
      </c>
      <c r="C142" s="5">
        <v>-95.159000000000006</v>
      </c>
      <c r="D142" t="s">
        <v>1353</v>
      </c>
      <c r="E142">
        <v>1</v>
      </c>
      <c r="F142" s="7">
        <v>0</v>
      </c>
      <c r="G142">
        <v>12.2</v>
      </c>
      <c r="H142" s="5">
        <f t="shared" si="6"/>
        <v>58.419699999999999</v>
      </c>
      <c r="I142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</row>
    <row r="143" spans="1:16" hidden="1" x14ac:dyDescent="0.25">
      <c r="A143" t="s">
        <v>1001</v>
      </c>
      <c r="B143" s="5">
        <v>29.622</v>
      </c>
      <c r="C143" s="5">
        <v>-95.656000000000006</v>
      </c>
      <c r="D143" t="s">
        <v>1388</v>
      </c>
      <c r="E143">
        <v>1</v>
      </c>
      <c r="F143" s="7">
        <v>1</v>
      </c>
      <c r="G143">
        <v>11</v>
      </c>
      <c r="H143" s="5">
        <f t="shared" si="6"/>
        <v>47.4925</v>
      </c>
      <c r="I143">
        <v>0</v>
      </c>
      <c r="J143">
        <f>3*1.5/H143</f>
        <v>9.4751802916249933E-2</v>
      </c>
      <c r="K143">
        <f>4/H143</f>
        <v>8.422382481444439E-2</v>
      </c>
      <c r="L143">
        <v>0</v>
      </c>
      <c r="M143">
        <v>0</v>
      </c>
      <c r="N143">
        <f>1.5/H143</f>
        <v>3.1583934305416644E-2</v>
      </c>
      <c r="O143">
        <v>0</v>
      </c>
      <c r="P143">
        <v>0</v>
      </c>
    </row>
    <row r="144" spans="1:16" hidden="1" x14ac:dyDescent="0.25">
      <c r="A144" t="s">
        <v>970</v>
      </c>
      <c r="B144" s="5">
        <v>29.645</v>
      </c>
      <c r="C144" s="5">
        <v>-95.278999999999996</v>
      </c>
      <c r="D144" s="5" t="s">
        <v>1352</v>
      </c>
      <c r="E144">
        <v>1</v>
      </c>
      <c r="F144" s="7">
        <v>1</v>
      </c>
      <c r="G144">
        <f>25.5/2</f>
        <v>12.75</v>
      </c>
      <c r="H144" s="5">
        <f t="shared" si="6"/>
        <v>63.805781250000003</v>
      </c>
      <c r="I144">
        <v>0</v>
      </c>
      <c r="J144">
        <v>0</v>
      </c>
      <c r="K144">
        <f>1.7/H144</f>
        <v>2.6643353732151032E-2</v>
      </c>
      <c r="L144">
        <f>3/H144</f>
        <v>4.701768305673712E-2</v>
      </c>
      <c r="M144">
        <f>3*3.5/H144</f>
        <v>0.1645618906985799</v>
      </c>
      <c r="N144">
        <v>0</v>
      </c>
      <c r="O144">
        <v>0</v>
      </c>
      <c r="P144">
        <v>0</v>
      </c>
    </row>
    <row r="145" spans="1:16" hidden="1" x14ac:dyDescent="0.25">
      <c r="A145" t="s">
        <v>284</v>
      </c>
      <c r="B145" s="5">
        <v>29.69</v>
      </c>
      <c r="C145" s="5">
        <v>-82.272000000000006</v>
      </c>
      <c r="D145" s="5" t="s">
        <v>1278</v>
      </c>
      <c r="E145" s="5">
        <v>1</v>
      </c>
      <c r="F145" s="7">
        <v>1</v>
      </c>
      <c r="G145">
        <f>24.5/2</f>
        <v>12.25</v>
      </c>
      <c r="H145" s="5">
        <f t="shared" si="6"/>
        <v>58.899531250000003</v>
      </c>
      <c r="I145">
        <f>4.5/H145</f>
        <v>7.6401287149462663E-2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hidden="1" x14ac:dyDescent="0.25">
      <c r="A146" t="s">
        <v>963</v>
      </c>
      <c r="B146" s="5">
        <v>29.709</v>
      </c>
      <c r="C146" s="5">
        <v>-98.045000000000002</v>
      </c>
      <c r="D146" s="5" t="s">
        <v>1347</v>
      </c>
      <c r="E146">
        <v>1</v>
      </c>
      <c r="F146" s="7">
        <v>0</v>
      </c>
      <c r="G146">
        <v>10</v>
      </c>
      <c r="H146" s="5">
        <f t="shared" si="6"/>
        <v>39.25</v>
      </c>
      <c r="I146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</row>
    <row r="147" spans="1:16" hidden="1" x14ac:dyDescent="0.25">
      <c r="A147" t="s">
        <v>285</v>
      </c>
      <c r="B147" s="5">
        <v>29.733000000000001</v>
      </c>
      <c r="C147" s="5">
        <v>-85.033000000000001</v>
      </c>
      <c r="D147" s="5" t="s">
        <v>1296</v>
      </c>
      <c r="E147">
        <v>1</v>
      </c>
      <c r="F147" s="7">
        <v>0</v>
      </c>
      <c r="G147">
        <v>12</v>
      </c>
      <c r="H147" s="5">
        <f t="shared" si="6"/>
        <v>56.519999999999996</v>
      </c>
      <c r="I147">
        <v>0</v>
      </c>
      <c r="J147">
        <v>0</v>
      </c>
      <c r="K147">
        <v>0</v>
      </c>
      <c r="L147">
        <v>0</v>
      </c>
      <c r="M147">
        <f>3*7.5/2/H147</f>
        <v>0.19904458598726116</v>
      </c>
      <c r="N147">
        <f>5*6/2/H147</f>
        <v>0.26539278131634819</v>
      </c>
      <c r="O147">
        <v>0</v>
      </c>
      <c r="P147">
        <f>0.5/H147</f>
        <v>8.8464260438782735E-3</v>
      </c>
    </row>
    <row r="148" spans="1:16" hidden="1" x14ac:dyDescent="0.25">
      <c r="A148" t="s">
        <v>962</v>
      </c>
      <c r="B148" s="5">
        <v>29.951000000000001</v>
      </c>
      <c r="C148" s="5">
        <v>-94.021000000000001</v>
      </c>
      <c r="D148" s="5" t="s">
        <v>1346</v>
      </c>
      <c r="E148">
        <v>1</v>
      </c>
      <c r="F148" s="7">
        <v>1</v>
      </c>
      <c r="G148">
        <f>23/2</f>
        <v>11.5</v>
      </c>
      <c r="H148" s="5">
        <f t="shared" si="6"/>
        <v>51.908124999999998</v>
      </c>
      <c r="I148">
        <v>0</v>
      </c>
      <c r="J148">
        <v>0</v>
      </c>
      <c r="K148">
        <v>0</v>
      </c>
      <c r="L148">
        <v>0</v>
      </c>
      <c r="M148">
        <f>0.5/H148</f>
        <v>9.6324034050546039E-3</v>
      </c>
      <c r="N148">
        <f>2.5*1.5/H148</f>
        <v>7.2243025537909525E-2</v>
      </c>
      <c r="O148">
        <f>7*0.5/H148</f>
        <v>6.7426823835382232E-2</v>
      </c>
      <c r="P148">
        <f>0.7/H148</f>
        <v>1.3485364767076445E-2</v>
      </c>
    </row>
    <row r="149" spans="1:16" hidden="1" x14ac:dyDescent="0.25">
      <c r="A149" t="s">
        <v>287</v>
      </c>
      <c r="B149" s="5">
        <v>29.959</v>
      </c>
      <c r="C149" s="5">
        <v>-81.334000000000003</v>
      </c>
      <c r="D149" s="5" t="s">
        <v>1298</v>
      </c>
      <c r="E149">
        <v>1</v>
      </c>
      <c r="F149" s="7">
        <v>0</v>
      </c>
      <c r="G149">
        <f>20.5/2</f>
        <v>10.25</v>
      </c>
      <c r="H149" s="5">
        <f t="shared" si="6"/>
        <v>41.237031250000001</v>
      </c>
      <c r="I149">
        <f>6*3.5/2/H149</f>
        <v>0.25462550726175276</v>
      </c>
      <c r="J149">
        <f>(H149-6*6/2)/H149</f>
        <v>0.56349913040842392</v>
      </c>
      <c r="K149">
        <f>5*3.5/2/H149</f>
        <v>0.21218792271812728</v>
      </c>
      <c r="L149">
        <v>0</v>
      </c>
      <c r="M149">
        <v>0</v>
      </c>
      <c r="N149">
        <f>3*3/2/H149</f>
        <v>0.10912521739789403</v>
      </c>
      <c r="O149">
        <v>0</v>
      </c>
      <c r="P149">
        <v>0</v>
      </c>
    </row>
    <row r="150" spans="1:16" hidden="1" x14ac:dyDescent="0.25">
      <c r="A150" t="s">
        <v>969</v>
      </c>
      <c r="B150" s="5">
        <v>29.992999999999999</v>
      </c>
      <c r="C150" s="5">
        <v>-95.364000000000004</v>
      </c>
      <c r="D150" s="5" t="s">
        <v>1351</v>
      </c>
      <c r="E150">
        <v>1</v>
      </c>
      <c r="F150" s="7">
        <v>1</v>
      </c>
      <c r="G150">
        <f>22.5/2</f>
        <v>11.25</v>
      </c>
      <c r="H150" s="5">
        <f t="shared" si="6"/>
        <v>49.675781250000007</v>
      </c>
      <c r="I150">
        <v>0</v>
      </c>
      <c r="J150">
        <v>0</v>
      </c>
      <c r="K150">
        <v>0</v>
      </c>
      <c r="L150">
        <v>0</v>
      </c>
      <c r="M150">
        <f>4*5/2/H150</f>
        <v>0.20130533930958555</v>
      </c>
      <c r="N150">
        <f>4*9/2/H150</f>
        <v>0.36234961075725403</v>
      </c>
      <c r="O150">
        <f>4/H150</f>
        <v>8.0522135723834223E-2</v>
      </c>
      <c r="P150">
        <v>0</v>
      </c>
    </row>
    <row r="151" spans="1:16" hidden="1" x14ac:dyDescent="0.25">
      <c r="A151" t="s">
        <v>435</v>
      </c>
      <c r="B151" s="5">
        <v>29.992999999999999</v>
      </c>
      <c r="C151" s="5">
        <v>-90.251000000000005</v>
      </c>
      <c r="D151" s="5" t="s">
        <v>1327</v>
      </c>
      <c r="E151" s="5">
        <v>1</v>
      </c>
      <c r="F151" s="7">
        <v>1</v>
      </c>
      <c r="G151">
        <v>11</v>
      </c>
      <c r="H151" s="5">
        <f t="shared" si="6"/>
        <v>47.4925</v>
      </c>
      <c r="I151">
        <v>0</v>
      </c>
      <c r="J151">
        <v>0</v>
      </c>
      <c r="K151">
        <f>2.2*7.5/2/H151</f>
        <v>0.17371163867979156</v>
      </c>
      <c r="L151">
        <f>2.5*3.5/2/H151</f>
        <v>9.2119808390798544E-2</v>
      </c>
      <c r="M151">
        <v>0</v>
      </c>
      <c r="N151">
        <v>0</v>
      </c>
      <c r="O151">
        <v>0</v>
      </c>
      <c r="P151">
        <v>0</v>
      </c>
    </row>
    <row r="152" spans="1:16" hidden="1" x14ac:dyDescent="0.25">
      <c r="A152" t="s">
        <v>436</v>
      </c>
      <c r="B152" s="5">
        <v>30.033000000000001</v>
      </c>
      <c r="C152" s="5">
        <v>-91.882999999999996</v>
      </c>
      <c r="D152" s="5" t="s">
        <v>1328</v>
      </c>
      <c r="E152" s="5">
        <v>1</v>
      </c>
      <c r="F152" s="7">
        <v>1</v>
      </c>
      <c r="G152">
        <f>20.5/2</f>
        <v>10.25</v>
      </c>
      <c r="H152" s="5">
        <f t="shared" si="6"/>
        <v>41.237031250000001</v>
      </c>
      <c r="I152">
        <f>1.75/H152</f>
        <v>4.2437584543625458E-2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idden="1" x14ac:dyDescent="0.25">
      <c r="A153" t="s">
        <v>437</v>
      </c>
      <c r="B153" s="5">
        <v>30.042999999999999</v>
      </c>
      <c r="C153" s="5">
        <v>-90.028000000000006</v>
      </c>
      <c r="D153" s="5" t="s">
        <v>1329</v>
      </c>
      <c r="E153" s="5">
        <v>1</v>
      </c>
      <c r="F153" s="7">
        <v>0</v>
      </c>
      <c r="G153">
        <v>12</v>
      </c>
      <c r="H153" s="5">
        <f t="shared" si="6"/>
        <v>56.519999999999996</v>
      </c>
      <c r="I153">
        <f>0.5/H153</f>
        <v>8.8464260438782735E-3</v>
      </c>
      <c r="J153">
        <f>1.5/H153</f>
        <v>2.6539278131634821E-2</v>
      </c>
      <c r="K153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</row>
    <row r="154" spans="1:16" hidden="1" x14ac:dyDescent="0.25">
      <c r="A154" t="s">
        <v>1024</v>
      </c>
      <c r="B154" s="5">
        <v>30.047999999999998</v>
      </c>
      <c r="C154" s="5">
        <v>-102.21299999999999</v>
      </c>
      <c r="D154" s="5" t="s">
        <v>1409</v>
      </c>
      <c r="E154" s="5">
        <v>1</v>
      </c>
      <c r="F154" s="7">
        <v>0</v>
      </c>
      <c r="G154">
        <f>11.5</f>
        <v>11.5</v>
      </c>
      <c r="H154" s="5">
        <f t="shared" si="6"/>
        <v>51.908124999999998</v>
      </c>
      <c r="I15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</row>
    <row r="155" spans="1:16" hidden="1" x14ac:dyDescent="0.25">
      <c r="A155" t="s">
        <v>968</v>
      </c>
      <c r="B155" s="5">
        <v>30.062000000000001</v>
      </c>
      <c r="C155" s="5">
        <v>-95.552999999999997</v>
      </c>
      <c r="D155" s="5" t="s">
        <v>1350</v>
      </c>
      <c r="E155" s="5">
        <v>1</v>
      </c>
      <c r="F155" s="7">
        <v>1</v>
      </c>
      <c r="G155">
        <v>9.5</v>
      </c>
      <c r="H155" s="5">
        <f t="shared" si="6"/>
        <v>35.423124999999999</v>
      </c>
      <c r="I155">
        <f>2.5/H155</f>
        <v>7.0575365668613374E-2</v>
      </c>
      <c r="J155">
        <v>0</v>
      </c>
      <c r="K155">
        <v>0</v>
      </c>
      <c r="L155">
        <v>0</v>
      </c>
      <c r="M155">
        <f>0.4/H155</f>
        <v>1.1292058506978141E-2</v>
      </c>
      <c r="N155">
        <v>0</v>
      </c>
      <c r="O155">
        <v>0</v>
      </c>
      <c r="P155">
        <v>0</v>
      </c>
    </row>
    <row r="156" spans="1:16" hidden="1" x14ac:dyDescent="0.25">
      <c r="A156" t="s">
        <v>298</v>
      </c>
      <c r="B156" s="5">
        <v>30.07</v>
      </c>
      <c r="C156" s="5">
        <v>-85.575999999999993</v>
      </c>
      <c r="D156" s="5" t="s">
        <v>2280</v>
      </c>
      <c r="E156" s="5">
        <v>1</v>
      </c>
      <c r="F156" s="7">
        <v>1</v>
      </c>
      <c r="G156">
        <v>10</v>
      </c>
      <c r="H156" s="5">
        <f t="shared" si="6"/>
        <v>39.25</v>
      </c>
      <c r="I156">
        <f>6.5*4.5/2/H156</f>
        <v>0.37261146496815284</v>
      </c>
      <c r="J156">
        <f>(H156-5*5.5/2)/H156</f>
        <v>0.64968152866242035</v>
      </c>
      <c r="K156">
        <f>3.5*4.5/2/H156</f>
        <v>0.20063694267515925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idden="1" x14ac:dyDescent="0.25">
      <c r="A157" t="s">
        <v>293</v>
      </c>
      <c r="B157" s="5">
        <v>30.071999999999999</v>
      </c>
      <c r="C157" s="5">
        <v>-83.573999999999998</v>
      </c>
      <c r="D157" s="5" t="s">
        <v>1302</v>
      </c>
      <c r="E157" s="5">
        <v>1</v>
      </c>
      <c r="F157" s="7">
        <v>1</v>
      </c>
      <c r="G157">
        <f>21.5/2</f>
        <v>10.75</v>
      </c>
      <c r="H157" s="5">
        <f t="shared" si="6"/>
        <v>45.358281250000005</v>
      </c>
      <c r="I157">
        <v>0</v>
      </c>
      <c r="J157">
        <f>7.5*6.5/2/H157</f>
        <v>0.53738808720844111</v>
      </c>
      <c r="K157">
        <f>(3.5*4+4.5*2.5/2)/H157</f>
        <v>0.43266630611141155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idden="1" x14ac:dyDescent="0.25">
      <c r="A158" t="s">
        <v>442</v>
      </c>
      <c r="B158" s="5">
        <v>30.125</v>
      </c>
      <c r="C158" s="5">
        <v>-93.227999999999994</v>
      </c>
      <c r="D158" s="5" t="s">
        <v>1342</v>
      </c>
      <c r="E158" s="5">
        <v>1</v>
      </c>
      <c r="F158" s="7">
        <v>0</v>
      </c>
      <c r="G158" s="5">
        <v>10.5</v>
      </c>
      <c r="H158" s="5">
        <f t="shared" si="6"/>
        <v>43.273125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f>4.5*6.5/2/H158</f>
        <v>0.33796958273755362</v>
      </c>
      <c r="O158" s="5">
        <f>(H158-4.5*4.5/2)/H158</f>
        <v>0.76602105810477061</v>
      </c>
      <c r="P158" s="5">
        <f>5.5*7/2/H158</f>
        <v>0.4448488524921646</v>
      </c>
    </row>
    <row r="159" spans="1:16" hidden="1" x14ac:dyDescent="0.25">
      <c r="A159" t="s">
        <v>998</v>
      </c>
      <c r="B159" s="1">
        <v>30.178999999999998</v>
      </c>
      <c r="C159" s="1">
        <v>-97.680999999999997</v>
      </c>
      <c r="D159" s="5" t="s">
        <v>1389</v>
      </c>
      <c r="E159" s="5">
        <v>1</v>
      </c>
      <c r="F159" s="7">
        <v>1</v>
      </c>
      <c r="G159">
        <v>10.5</v>
      </c>
      <c r="H159" s="5">
        <f t="shared" si="6"/>
        <v>43.273125</v>
      </c>
      <c r="I159">
        <v>0</v>
      </c>
      <c r="J159">
        <v>0</v>
      </c>
      <c r="K159">
        <v>0</v>
      </c>
      <c r="L159">
        <v>0</v>
      </c>
      <c r="M159">
        <v>0</v>
      </c>
      <c r="N159">
        <f>4.5*6.5/2/H159</f>
        <v>0.33796958273755362</v>
      </c>
      <c r="O159">
        <f>(H159-4.5*4.5/2)/H159</f>
        <v>0.76602105810477061</v>
      </c>
      <c r="P159">
        <f>5.5*7/2/H159</f>
        <v>0.4448488524921646</v>
      </c>
    </row>
    <row r="160" spans="1:16" hidden="1" x14ac:dyDescent="0.25">
      <c r="A160" t="s">
        <v>1003</v>
      </c>
      <c r="B160" s="1">
        <v>30.2</v>
      </c>
      <c r="C160" s="1">
        <v>-97.683000000000007</v>
      </c>
      <c r="D160" s="5" t="s">
        <v>2328</v>
      </c>
      <c r="E160" s="5">
        <v>1</v>
      </c>
      <c r="F160" s="7">
        <v>1</v>
      </c>
      <c r="G160" s="5">
        <v>10.5</v>
      </c>
      <c r="H160" s="5">
        <f t="shared" si="6"/>
        <v>43.273125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f>4.5*6.5/2/H160</f>
        <v>0.33796958273755362</v>
      </c>
      <c r="O160" s="5">
        <f>(H160-4.5*4.5/2)/H160</f>
        <v>0.76602105810477061</v>
      </c>
      <c r="P160" s="5">
        <f>5.5*7/2/H160</f>
        <v>0.4448488524921646</v>
      </c>
    </row>
    <row r="161" spans="1:16" hidden="1" x14ac:dyDescent="0.25">
      <c r="A161" t="s">
        <v>444</v>
      </c>
      <c r="B161" s="5">
        <v>30.204999999999998</v>
      </c>
      <c r="C161" s="5">
        <v>-91.988</v>
      </c>
      <c r="D161" s="5" t="s">
        <v>1344</v>
      </c>
      <c r="E161" s="5">
        <v>1</v>
      </c>
      <c r="F161" s="7">
        <v>1</v>
      </c>
      <c r="G161">
        <v>11</v>
      </c>
      <c r="H161" s="5">
        <f t="shared" si="6"/>
        <v>47.4925</v>
      </c>
      <c r="I161">
        <v>0</v>
      </c>
      <c r="J161">
        <f>8.5/H161</f>
        <v>0.17897562773069431</v>
      </c>
      <c r="K161">
        <f>3.5*7/2/H161</f>
        <v>0.25793546349423591</v>
      </c>
      <c r="L161">
        <f>2*6.5/H161</f>
        <v>0.27372743064694427</v>
      </c>
      <c r="M161">
        <f>9.5/H161</f>
        <v>0.20003158393430542</v>
      </c>
      <c r="N161">
        <v>0</v>
      </c>
      <c r="O161">
        <v>0</v>
      </c>
      <c r="P161">
        <v>0</v>
      </c>
    </row>
    <row r="162" spans="1:16" hidden="1" x14ac:dyDescent="0.25">
      <c r="A162" t="s">
        <v>296</v>
      </c>
      <c r="B162" s="5">
        <v>30.212</v>
      </c>
      <c r="C162" s="5">
        <v>-85.683000000000007</v>
      </c>
      <c r="D162" s="5" t="s">
        <v>1309</v>
      </c>
      <c r="E162" s="5">
        <v>1</v>
      </c>
      <c r="F162" s="7">
        <v>1</v>
      </c>
      <c r="G162">
        <v>12</v>
      </c>
      <c r="H162" s="5">
        <f t="shared" si="6"/>
        <v>56.519999999999996</v>
      </c>
      <c r="I162">
        <f>1.5*2/H162</f>
        <v>5.3078556263269641E-2</v>
      </c>
      <c r="J162">
        <v>0</v>
      </c>
      <c r="K162">
        <f>3*3.5/H162</f>
        <v>0.18577494692144375</v>
      </c>
      <c r="L162">
        <f>6*3.5/2/H162</f>
        <v>0.18577494692144375</v>
      </c>
      <c r="M162">
        <f>(H162-10.5*3.5/2)/H162</f>
        <v>0.67489384288747345</v>
      </c>
      <c r="N162">
        <f>6*4/2/H162</f>
        <v>0.21231422505307856</v>
      </c>
      <c r="O162">
        <f>3.5*3/2/H162</f>
        <v>9.2887473460721875E-2</v>
      </c>
      <c r="P162">
        <f>7*4/2/H162</f>
        <v>0.24769992922859166</v>
      </c>
    </row>
    <row r="163" spans="1:16" hidden="1" x14ac:dyDescent="0.25">
      <c r="A163" t="s">
        <v>272</v>
      </c>
      <c r="B163" s="5">
        <v>30.219000000000001</v>
      </c>
      <c r="C163" s="5">
        <v>-81.867999999999995</v>
      </c>
      <c r="D163" s="5" t="s">
        <v>1251</v>
      </c>
      <c r="E163" s="5">
        <v>1</v>
      </c>
      <c r="F163" s="7">
        <v>0</v>
      </c>
      <c r="G163">
        <f>20.5/2</f>
        <v>10.25</v>
      </c>
      <c r="H163" s="5">
        <f t="shared" si="6"/>
        <v>41.237031250000001</v>
      </c>
      <c r="I163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</row>
    <row r="164" spans="1:16" hidden="1" x14ac:dyDescent="0.25">
      <c r="A164" t="s">
        <v>270</v>
      </c>
      <c r="B164" s="5">
        <v>30.233000000000001</v>
      </c>
      <c r="C164" s="5">
        <v>-81.683000000000007</v>
      </c>
      <c r="D164" s="5" t="s">
        <v>1249</v>
      </c>
      <c r="E164">
        <v>1</v>
      </c>
      <c r="F164" s="7">
        <v>0</v>
      </c>
      <c r="G164">
        <f>19.5/2</f>
        <v>9.75</v>
      </c>
      <c r="H164" s="5">
        <f t="shared" si="6"/>
        <v>37.312031250000004</v>
      </c>
      <c r="I164">
        <f>2.4*4/2/H164</f>
        <v>0.1286448322215103</v>
      </c>
      <c r="J164">
        <v>0</v>
      </c>
      <c r="K164">
        <f>0.5/H164</f>
        <v>1.3400503356407323E-2</v>
      </c>
      <c r="L164">
        <v>0</v>
      </c>
      <c r="M164">
        <v>0</v>
      </c>
      <c r="N164">
        <f>6.5*1.5/2/H164</f>
        <v>0.1306549077249714</v>
      </c>
      <c r="O164">
        <f>4*9.5/2/H164</f>
        <v>0.50921912754347831</v>
      </c>
      <c r="P164">
        <f>5.5*6.5/2/H164</f>
        <v>0.47906799499156183</v>
      </c>
    </row>
    <row r="165" spans="1:16" hidden="1" x14ac:dyDescent="0.25">
      <c r="A165" t="s">
        <v>273</v>
      </c>
      <c r="B165" s="5">
        <v>30.335999999999999</v>
      </c>
      <c r="C165" s="5">
        <v>-81.515000000000001</v>
      </c>
      <c r="D165" s="5" t="s">
        <v>1252</v>
      </c>
      <c r="E165" s="5">
        <v>1</v>
      </c>
      <c r="F165" s="7">
        <v>1</v>
      </c>
      <c r="G165">
        <f>18.3/2</f>
        <v>9.15</v>
      </c>
      <c r="H165" s="5">
        <f t="shared" si="6"/>
        <v>32.861081250000005</v>
      </c>
      <c r="I165">
        <f>0.7/H165</f>
        <v>2.130179450501191E-2</v>
      </c>
      <c r="J165">
        <f>0.4/H165</f>
        <v>1.217245400286395E-2</v>
      </c>
      <c r="K165">
        <v>0</v>
      </c>
      <c r="L165">
        <v>0</v>
      </c>
      <c r="M165">
        <v>0</v>
      </c>
      <c r="N165">
        <f>4/H165</f>
        <v>0.12172454002863949</v>
      </c>
      <c r="O165">
        <f>4.5*3/2/H165</f>
        <v>0.20541016129832912</v>
      </c>
      <c r="P165">
        <v>0</v>
      </c>
    </row>
    <row r="166" spans="1:16" hidden="1" x14ac:dyDescent="0.25">
      <c r="A166" t="s">
        <v>440</v>
      </c>
      <c r="B166" s="5">
        <v>30.344999999999999</v>
      </c>
      <c r="C166" s="5">
        <v>-89.820999999999998</v>
      </c>
      <c r="D166" s="5" t="s">
        <v>1340</v>
      </c>
      <c r="E166" s="5">
        <v>1</v>
      </c>
      <c r="F166" s="7">
        <v>1</v>
      </c>
      <c r="G166">
        <f>22.7/2</f>
        <v>11.35</v>
      </c>
      <c r="H166" s="5">
        <f t="shared" si="6"/>
        <v>50.562831250000002</v>
      </c>
      <c r="I166">
        <f>9*4.5/2/H166</f>
        <v>0.40049181383607746</v>
      </c>
      <c r="J166">
        <f>4*6/2/H166</f>
        <v>0.23732848227323108</v>
      </c>
      <c r="K166">
        <f>(H166-7*7.5/2)/H166</f>
        <v>0.48084394502730698</v>
      </c>
      <c r="L166">
        <f>3.5*4/2/H166</f>
        <v>0.13844161465938479</v>
      </c>
      <c r="M166">
        <f>4*4.5/2/H166</f>
        <v>0.17799636170492331</v>
      </c>
      <c r="N166">
        <f>(H166-9*2.5/2)/H166</f>
        <v>0.77750454786884582</v>
      </c>
      <c r="O166">
        <f>(H166-3.5*3.5/2)/H166</f>
        <v>0.87886358717303825</v>
      </c>
      <c r="P166">
        <f>(H166-3.5*4/2)/H166</f>
        <v>0.86155838534061524</v>
      </c>
    </row>
    <row r="167" spans="1:16" hidden="1" x14ac:dyDescent="0.25">
      <c r="A167" t="s">
        <v>294</v>
      </c>
      <c r="B167" s="5">
        <v>30.35</v>
      </c>
      <c r="C167" s="5">
        <v>-87.316999999999993</v>
      </c>
      <c r="D167" s="5" t="s">
        <v>1303</v>
      </c>
      <c r="E167" s="5">
        <v>1</v>
      </c>
      <c r="F167" s="7">
        <v>0</v>
      </c>
      <c r="G167">
        <f>23.5/2</f>
        <v>11.75</v>
      </c>
      <c r="H167" s="5">
        <f t="shared" si="6"/>
        <v>54.189531250000002</v>
      </c>
      <c r="I167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</row>
    <row r="168" spans="1:16" hidden="1" x14ac:dyDescent="0.25">
      <c r="A168" t="s">
        <v>972</v>
      </c>
      <c r="B168" s="5">
        <v>30.352</v>
      </c>
      <c r="C168" s="5">
        <v>-95.414000000000001</v>
      </c>
      <c r="D168" s="5" t="s">
        <v>1354</v>
      </c>
      <c r="E168" s="5">
        <v>1</v>
      </c>
      <c r="F168" s="7">
        <v>0</v>
      </c>
      <c r="G168">
        <f>24.4/2</f>
        <v>12.2</v>
      </c>
      <c r="H168" s="5">
        <f t="shared" si="6"/>
        <v>58.419699999999999</v>
      </c>
      <c r="I168">
        <v>0</v>
      </c>
      <c r="J168">
        <f>3/H168</f>
        <v>5.1352540324582294E-2</v>
      </c>
      <c r="K168">
        <f>0.3/H168</f>
        <v>5.1352540324582285E-3</v>
      </c>
      <c r="L168">
        <v>0</v>
      </c>
      <c r="M168">
        <v>0</v>
      </c>
      <c r="N168">
        <v>0</v>
      </c>
      <c r="O168">
        <f>0.4/H168</f>
        <v>6.8470053766109722E-3</v>
      </c>
      <c r="P168">
        <f>2/H168</f>
        <v>3.423502688305486E-2</v>
      </c>
    </row>
    <row r="169" spans="1:16" hidden="1" x14ac:dyDescent="0.25">
      <c r="A169" t="s">
        <v>283</v>
      </c>
      <c r="B169" s="5">
        <v>30.393000000000001</v>
      </c>
      <c r="C169" s="5">
        <v>-84.352999999999994</v>
      </c>
      <c r="D169" s="5" t="s">
        <v>1276</v>
      </c>
      <c r="E169" s="5">
        <v>1</v>
      </c>
      <c r="F169" s="7">
        <v>1</v>
      </c>
      <c r="G169">
        <f>23.5/2</f>
        <v>11.75</v>
      </c>
      <c r="H169" s="5">
        <f t="shared" si="6"/>
        <v>54.189531250000002</v>
      </c>
      <c r="I169">
        <f>4.2*5.5/2/H169</f>
        <v>0.21314079922032911</v>
      </c>
      <c r="J169">
        <f>5.5*3/2/H169</f>
        <v>0.15224342801452079</v>
      </c>
      <c r="K169">
        <v>0</v>
      </c>
      <c r="L169">
        <v>0</v>
      </c>
      <c r="M169">
        <v>0</v>
      </c>
      <c r="N169">
        <v>0</v>
      </c>
      <c r="O169">
        <v>0</v>
      </c>
      <c r="P169">
        <f>2/H169</f>
        <v>3.6907497700489886E-2</v>
      </c>
    </row>
    <row r="170" spans="1:16" hidden="1" x14ac:dyDescent="0.25">
      <c r="A170" t="s">
        <v>274</v>
      </c>
      <c r="B170" s="5">
        <v>30.4</v>
      </c>
      <c r="C170" s="5">
        <v>-86.471999999999994</v>
      </c>
      <c r="D170" s="5" t="s">
        <v>1253</v>
      </c>
      <c r="E170" s="5">
        <v>1</v>
      </c>
      <c r="F170" s="7">
        <v>0</v>
      </c>
      <c r="G170">
        <v>10.5</v>
      </c>
      <c r="H170" s="5">
        <f t="shared" si="6"/>
        <v>43.273125</v>
      </c>
      <c r="I170">
        <f>8*7/2/H170</f>
        <v>0.6470528763522394</v>
      </c>
      <c r="J170">
        <f>(H170-3.5*3/2)/H170</f>
        <v>0.87867758568395515</v>
      </c>
      <c r="K170">
        <f>(H170-6.5*3/2)/H170</f>
        <v>0.77468694484163092</v>
      </c>
      <c r="L170">
        <f>4*3/2/H170</f>
        <v>0.1386541877897656</v>
      </c>
      <c r="M170">
        <f>8.5*1.5/2/H170</f>
        <v>0.14732007452662593</v>
      </c>
      <c r="N170">
        <f>5.5*6/2/H170</f>
        <v>0.38129901642185537</v>
      </c>
      <c r="O170">
        <f>7.5*7.5/2/H170</f>
        <v>0.64994150526452621</v>
      </c>
      <c r="P170">
        <f>3/H170</f>
        <v>6.9327093894882799E-2</v>
      </c>
    </row>
    <row r="171" spans="1:16" hidden="1" x14ac:dyDescent="0.25">
      <c r="A171" t="s">
        <v>271</v>
      </c>
      <c r="B171" s="5">
        <v>30.4</v>
      </c>
      <c r="C171" s="5">
        <v>-81.417000000000002</v>
      </c>
      <c r="D171" s="5" t="s">
        <v>1250</v>
      </c>
      <c r="E171" s="5">
        <v>1</v>
      </c>
      <c r="F171" s="7">
        <v>1</v>
      </c>
      <c r="G171">
        <f>19.8/2</f>
        <v>9.9</v>
      </c>
      <c r="H171" s="5">
        <f t="shared" si="6"/>
        <v>38.468925000000006</v>
      </c>
      <c r="I171">
        <f>4.5*5.5/2/H171</f>
        <v>0.3216882197773917</v>
      </c>
      <c r="J171">
        <f>0.8/H171</f>
        <v>2.0796006127023304E-2</v>
      </c>
      <c r="K171">
        <v>0</v>
      </c>
      <c r="L171">
        <v>0</v>
      </c>
      <c r="M171">
        <v>0</v>
      </c>
      <c r="N171">
        <f>4/H171</f>
        <v>0.10398003063511652</v>
      </c>
      <c r="O171">
        <f>(H171-4*4.5/2)/H171</f>
        <v>0.76604493107098781</v>
      </c>
      <c r="P171">
        <f>10*3.5/2/H171</f>
        <v>0.45491263402863474</v>
      </c>
    </row>
    <row r="172" spans="1:16" hidden="1" x14ac:dyDescent="0.25">
      <c r="A172" t="s">
        <v>599</v>
      </c>
      <c r="B172" s="5">
        <v>30.407</v>
      </c>
      <c r="C172" s="5">
        <v>-89.07</v>
      </c>
      <c r="D172" s="5" t="s">
        <v>2277</v>
      </c>
      <c r="E172" s="5">
        <v>1</v>
      </c>
      <c r="F172" s="7">
        <v>0</v>
      </c>
      <c r="G172">
        <f>22.5/2</f>
        <v>11.25</v>
      </c>
      <c r="H172" s="5">
        <f t="shared" si="6"/>
        <v>49.675781250000007</v>
      </c>
      <c r="I172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</row>
    <row r="173" spans="1:16" hidden="1" x14ac:dyDescent="0.25">
      <c r="A173" t="s">
        <v>600</v>
      </c>
      <c r="B173" s="5">
        <v>30.411000000000001</v>
      </c>
      <c r="C173" s="5">
        <v>-88.924000000000007</v>
      </c>
      <c r="D173" s="5" t="s">
        <v>2278</v>
      </c>
      <c r="E173" s="5">
        <v>1</v>
      </c>
      <c r="F173" s="7">
        <v>0</v>
      </c>
      <c r="G173">
        <v>10</v>
      </c>
      <c r="H173" s="5">
        <f t="shared" si="6"/>
        <v>39.25</v>
      </c>
      <c r="I173">
        <f>3*3.5/2/H173</f>
        <v>0.13375796178343949</v>
      </c>
      <c r="J173">
        <v>0</v>
      </c>
      <c r="K173">
        <f>2.5*7/2/H173</f>
        <v>0.22292993630573249</v>
      </c>
      <c r="L173">
        <f>2.5*6.5/2/H173</f>
        <v>0.2070063694267516</v>
      </c>
      <c r="M173">
        <f>3.5*1.5/2/H173</f>
        <v>6.6878980891719744E-2</v>
      </c>
      <c r="N173">
        <v>0</v>
      </c>
      <c r="O173">
        <f>4/H173</f>
        <v>0.10191082802547771</v>
      </c>
      <c r="P173">
        <f>3.5*5/2/H173</f>
        <v>0.22292993630573249</v>
      </c>
    </row>
    <row r="174" spans="1:16" hidden="1" x14ac:dyDescent="0.25">
      <c r="A174" t="s">
        <v>300</v>
      </c>
      <c r="B174" s="1">
        <v>30.428999999999998</v>
      </c>
      <c r="C174" s="1">
        <v>-86.688999999999993</v>
      </c>
      <c r="D174" s="5" t="s">
        <v>2281</v>
      </c>
      <c r="E174" s="5">
        <v>1</v>
      </c>
      <c r="F174" s="7">
        <v>0</v>
      </c>
      <c r="G174">
        <f>21/2</f>
        <v>10.5</v>
      </c>
      <c r="H174" s="5">
        <f t="shared" si="6"/>
        <v>43.273125</v>
      </c>
      <c r="I174">
        <v>0</v>
      </c>
      <c r="J174">
        <f>2*2.5/2/H174</f>
        <v>5.7772578245735659E-2</v>
      </c>
      <c r="K174">
        <f>1.5*7/2/H174</f>
        <v>0.12132241431604489</v>
      </c>
      <c r="L174">
        <f>2.5*3/2/H174</f>
        <v>8.6658867368603495E-2</v>
      </c>
      <c r="M174">
        <v>0</v>
      </c>
      <c r="N174">
        <v>0</v>
      </c>
      <c r="O174">
        <f>0.8/H174</f>
        <v>1.8487225038635414E-2</v>
      </c>
      <c r="P174">
        <v>0</v>
      </c>
    </row>
    <row r="175" spans="1:16" hidden="1" x14ac:dyDescent="0.25">
      <c r="A175" t="s">
        <v>601</v>
      </c>
      <c r="B175" s="5">
        <v>30.463999999999999</v>
      </c>
      <c r="C175" s="5">
        <v>-88.531999999999996</v>
      </c>
      <c r="D175" s="5" t="s">
        <v>2279</v>
      </c>
      <c r="E175" s="5">
        <v>1</v>
      </c>
      <c r="F175" s="7">
        <v>1</v>
      </c>
      <c r="G175">
        <f>23.7/2</f>
        <v>11.85</v>
      </c>
      <c r="H175" s="5">
        <f t="shared" si="6"/>
        <v>55.115831250000006</v>
      </c>
      <c r="I175">
        <v>0</v>
      </c>
      <c r="J175">
        <v>0</v>
      </c>
      <c r="K175">
        <v>0</v>
      </c>
      <c r="L175">
        <v>0</v>
      </c>
      <c r="M175">
        <f>7.5*9/2/H175</f>
        <v>0.6123467474692218</v>
      </c>
      <c r="N175">
        <f>9*11/2/H175</f>
        <v>0.89810856295485875</v>
      </c>
      <c r="O175">
        <f>9.5*11/2/H175</f>
        <v>0.9480034831190175</v>
      </c>
      <c r="P175">
        <f>9*8/2/H175</f>
        <v>0.65316986396717003</v>
      </c>
    </row>
    <row r="176" spans="1:16" hidden="1" x14ac:dyDescent="0.25">
      <c r="A176" t="s">
        <v>290</v>
      </c>
      <c r="B176" s="1">
        <v>30.472999999999999</v>
      </c>
      <c r="C176" s="1">
        <v>-87.188000000000002</v>
      </c>
      <c r="D176" s="1" t="s">
        <v>2317</v>
      </c>
      <c r="E176" s="5">
        <v>1</v>
      </c>
      <c r="F176" s="7">
        <v>1</v>
      </c>
      <c r="G176" s="5">
        <f>23.7/2</f>
        <v>11.85</v>
      </c>
      <c r="H176" s="5">
        <f t="shared" si="6"/>
        <v>55.115831250000006</v>
      </c>
      <c r="I176" s="5">
        <f>1/H176</f>
        <v>1.8143607332421388E-2</v>
      </c>
      <c r="J176" s="5">
        <f>7*7/2/H176</f>
        <v>0.444518379644324</v>
      </c>
      <c r="K176" s="5">
        <f>7*4.5/2/H176</f>
        <v>0.28576181548563684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</row>
    <row r="177" spans="1:16" hidden="1" x14ac:dyDescent="0.25">
      <c r="A177" t="s">
        <v>291</v>
      </c>
      <c r="B177" s="1">
        <v>30.472999999999999</v>
      </c>
      <c r="C177" s="1">
        <v>-87.188000000000002</v>
      </c>
      <c r="D177" s="1" t="s">
        <v>1301</v>
      </c>
      <c r="E177" s="5">
        <v>1</v>
      </c>
      <c r="F177" s="7">
        <v>1</v>
      </c>
      <c r="G177">
        <f>23.7/2</f>
        <v>11.85</v>
      </c>
      <c r="H177" s="5">
        <f t="shared" ref="H177:H240" si="7">3.14*G177*G177/8</f>
        <v>55.115831250000006</v>
      </c>
      <c r="I177">
        <f>1/H177</f>
        <v>1.8143607332421388E-2</v>
      </c>
      <c r="J177">
        <f>7*7/2/H177</f>
        <v>0.444518379644324</v>
      </c>
      <c r="K177">
        <f>7*4.5/2/H177</f>
        <v>0.28576181548563684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idden="1" x14ac:dyDescent="0.25">
      <c r="A178" t="s">
        <v>286</v>
      </c>
      <c r="B178" s="5">
        <v>30.483000000000001</v>
      </c>
      <c r="C178" s="5">
        <v>-86.525000000000006</v>
      </c>
      <c r="D178" s="5" t="s">
        <v>1297</v>
      </c>
      <c r="E178" s="5">
        <v>1</v>
      </c>
      <c r="F178" s="7">
        <v>0</v>
      </c>
      <c r="G178">
        <f>24.5/2</f>
        <v>12.25</v>
      </c>
      <c r="H178" s="5">
        <f t="shared" si="7"/>
        <v>58.899531250000003</v>
      </c>
      <c r="I178">
        <f>1.5/H178</f>
        <v>2.5467095716487555E-2</v>
      </c>
      <c r="J178">
        <v>0</v>
      </c>
      <c r="K178">
        <f>0.5/H178</f>
        <v>8.4890319054958512E-3</v>
      </c>
      <c r="L178">
        <f>0.3/H178</f>
        <v>5.0934191432975111E-3</v>
      </c>
      <c r="M178">
        <v>0</v>
      </c>
      <c r="N178">
        <v>0</v>
      </c>
      <c r="O178">
        <f>10*4/2/H178</f>
        <v>0.33956127621983406</v>
      </c>
      <c r="P178">
        <f>7*8.5/2/H178</f>
        <v>0.50509739837700318</v>
      </c>
    </row>
    <row r="179" spans="1:16" hidden="1" x14ac:dyDescent="0.25">
      <c r="A179" t="s">
        <v>268</v>
      </c>
      <c r="B179" s="5">
        <v>30.494</v>
      </c>
      <c r="C179" s="5">
        <v>-81.692999999999998</v>
      </c>
      <c r="D179" s="5" t="s">
        <v>1247</v>
      </c>
      <c r="E179" s="5">
        <v>1</v>
      </c>
      <c r="F179" s="7">
        <v>1</v>
      </c>
      <c r="G179">
        <f>20.5/2</f>
        <v>10.25</v>
      </c>
      <c r="H179" s="5">
        <f t="shared" si="7"/>
        <v>41.237031250000001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idden="1" x14ac:dyDescent="0.25">
      <c r="A180" t="s">
        <v>1046</v>
      </c>
      <c r="B180" s="5">
        <v>30.510999999999999</v>
      </c>
      <c r="C180" s="5">
        <v>-99.766000000000005</v>
      </c>
      <c r="D180" s="5" t="s">
        <v>2275</v>
      </c>
      <c r="E180" s="5">
        <v>1</v>
      </c>
      <c r="F180" s="7">
        <v>1</v>
      </c>
      <c r="G180">
        <v>10</v>
      </c>
      <c r="H180" s="5">
        <f t="shared" si="7"/>
        <v>39.25</v>
      </c>
      <c r="I180">
        <f>1/H180</f>
        <v>2.5477707006369428E-2</v>
      </c>
      <c r="J180">
        <f>1.5/H180</f>
        <v>3.8216560509554139E-2</v>
      </c>
      <c r="K180">
        <v>0</v>
      </c>
      <c r="L180">
        <v>0</v>
      </c>
      <c r="M180">
        <f>1.5/H180</f>
        <v>3.8216560509554139E-2</v>
      </c>
      <c r="N180">
        <f>4.5/H180</f>
        <v>0.11464968152866242</v>
      </c>
      <c r="O180">
        <f>4.5/H180</f>
        <v>0.11464968152866242</v>
      </c>
      <c r="P180">
        <f>2/H180</f>
        <v>5.0955414012738856E-2</v>
      </c>
    </row>
    <row r="181" spans="1:16" hidden="1" x14ac:dyDescent="0.25">
      <c r="A181" t="s">
        <v>438</v>
      </c>
      <c r="B181" s="5">
        <v>30.536999999999999</v>
      </c>
      <c r="C181" s="5">
        <v>-91.147000000000006</v>
      </c>
      <c r="D181" s="5" t="s">
        <v>1330</v>
      </c>
      <c r="E181" s="5">
        <v>1</v>
      </c>
      <c r="F181" s="7">
        <v>1</v>
      </c>
      <c r="G181">
        <v>11</v>
      </c>
      <c r="H181" s="5">
        <f t="shared" si="7"/>
        <v>47.4925</v>
      </c>
      <c r="I181">
        <f>6.5*5.5/2/H181</f>
        <v>0.37637521713954836</v>
      </c>
      <c r="J181">
        <f>2*2/H181</f>
        <v>8.422382481444439E-2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f>(H181-11*3.5/2)/H181</f>
        <v>0.5946728430804864</v>
      </c>
    </row>
    <row r="182" spans="1:16" hidden="1" x14ac:dyDescent="0.25">
      <c r="A182" t="s">
        <v>973</v>
      </c>
      <c r="B182" s="5">
        <v>30.588000000000001</v>
      </c>
      <c r="C182" s="5">
        <v>-96.364000000000004</v>
      </c>
      <c r="D182" t="s">
        <v>1355</v>
      </c>
      <c r="E182" s="5">
        <v>1</v>
      </c>
      <c r="F182" s="7">
        <v>1</v>
      </c>
      <c r="G182">
        <v>12</v>
      </c>
      <c r="H182" s="5">
        <f t="shared" si="7"/>
        <v>56.519999999999996</v>
      </c>
      <c r="I182">
        <v>0</v>
      </c>
      <c r="J182">
        <f>2/H182</f>
        <v>3.5385704175513094E-2</v>
      </c>
      <c r="K182">
        <f>3*6.5/2/H182</f>
        <v>0.17250530785562634</v>
      </c>
      <c r="L182">
        <v>0</v>
      </c>
      <c r="M182">
        <f>2.5/H182</f>
        <v>4.4232130219391368E-2</v>
      </c>
      <c r="N182">
        <f>4*3/2/H182</f>
        <v>0.10615711252653928</v>
      </c>
      <c r="O182">
        <v>0</v>
      </c>
      <c r="P182">
        <f>1.5/H182</f>
        <v>2.6539278131634821E-2</v>
      </c>
    </row>
    <row r="183" spans="1:16" hidden="1" x14ac:dyDescent="0.25">
      <c r="A183" t="s">
        <v>6</v>
      </c>
      <c r="B183" s="5">
        <v>30.626000000000001</v>
      </c>
      <c r="C183" s="5">
        <v>-88.067999999999998</v>
      </c>
      <c r="D183" t="s">
        <v>1306</v>
      </c>
      <c r="E183" s="5">
        <v>1</v>
      </c>
      <c r="F183" s="7">
        <v>1</v>
      </c>
      <c r="G183">
        <v>9</v>
      </c>
      <c r="H183" s="5">
        <f t="shared" si="7"/>
        <v>31.7925</v>
      </c>
      <c r="I183">
        <v>0</v>
      </c>
      <c r="J183">
        <f>0.6/H183</f>
        <v>1.8872375560273647E-2</v>
      </c>
      <c r="K183">
        <v>0</v>
      </c>
      <c r="L183">
        <v>0</v>
      </c>
      <c r="M183">
        <f>5*4/2/H183</f>
        <v>0.3145395926712275</v>
      </c>
      <c r="N183">
        <f>6*5/2/H183</f>
        <v>0.47180938900684122</v>
      </c>
      <c r="O183">
        <f>5.5*6.5/2/H183</f>
        <v>0.56223952189981918</v>
      </c>
      <c r="P183">
        <v>0</v>
      </c>
    </row>
    <row r="184" spans="1:16" hidden="1" x14ac:dyDescent="0.25">
      <c r="A184" t="s">
        <v>297</v>
      </c>
      <c r="B184" s="5">
        <v>30.65</v>
      </c>
      <c r="C184" s="5">
        <v>-86.516999999999996</v>
      </c>
      <c r="D184" s="5" t="s">
        <v>1310</v>
      </c>
      <c r="E184" s="5">
        <v>1</v>
      </c>
      <c r="F184" s="7">
        <v>0</v>
      </c>
      <c r="G184">
        <f>24.5/2</f>
        <v>12.25</v>
      </c>
      <c r="H184" s="5">
        <f t="shared" si="7"/>
        <v>58.899531250000003</v>
      </c>
      <c r="I184">
        <v>0</v>
      </c>
      <c r="J184">
        <v>0</v>
      </c>
      <c r="K184">
        <f>3*2.5/2/H184</f>
        <v>6.3667739291218883E-2</v>
      </c>
      <c r="L184">
        <v>0</v>
      </c>
      <c r="M184">
        <v>0</v>
      </c>
      <c r="N184">
        <f>3.5*3.5/2/H184</f>
        <v>0.10399064084232419</v>
      </c>
      <c r="O184">
        <f>3/H184</f>
        <v>5.0934191432975111E-2</v>
      </c>
      <c r="P184">
        <f>2/H184</f>
        <v>3.3956127621983405E-2</v>
      </c>
    </row>
    <row r="185" spans="1:16" hidden="1" x14ac:dyDescent="0.25">
      <c r="A185" t="s">
        <v>5</v>
      </c>
      <c r="B185" s="5">
        <v>30.687999999999999</v>
      </c>
      <c r="C185" s="5">
        <v>-88.245999999999995</v>
      </c>
      <c r="D185" s="5" t="s">
        <v>1305</v>
      </c>
      <c r="E185" s="5">
        <v>1</v>
      </c>
      <c r="F185" s="7">
        <v>1</v>
      </c>
      <c r="G185">
        <f>21.5/2</f>
        <v>10.75</v>
      </c>
      <c r="H185" s="5">
        <f t="shared" si="7"/>
        <v>45.358281250000005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f>2/H185</f>
        <v>4.4093381514538753E-2</v>
      </c>
      <c r="O185">
        <f>(H185-4.5*5.5/2)/H185</f>
        <v>0.7271722018787915</v>
      </c>
      <c r="P185">
        <f>6*6/2/H185</f>
        <v>0.39684043363084881</v>
      </c>
    </row>
    <row r="186" spans="1:16" hidden="1" x14ac:dyDescent="0.25">
      <c r="A186" t="s">
        <v>244</v>
      </c>
      <c r="B186" s="3">
        <v>30.704000000000001</v>
      </c>
      <c r="C186" s="3">
        <v>-87.022999999999996</v>
      </c>
      <c r="D186" s="5" t="s">
        <v>1219</v>
      </c>
      <c r="E186" s="5">
        <v>1</v>
      </c>
      <c r="F186" s="7">
        <v>1</v>
      </c>
      <c r="G186">
        <f>20.5/2</f>
        <v>10.25</v>
      </c>
      <c r="H186" s="5">
        <f t="shared" si="7"/>
        <v>41.237031250000001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f>6.5*9.5/2/H186</f>
        <v>0.74872024159110628</v>
      </c>
      <c r="O186">
        <f>(H186-5*3.2/2)/H186</f>
        <v>0.80599961351485505</v>
      </c>
      <c r="P186">
        <f>6*5/2/H186</f>
        <v>0.36375072465964675</v>
      </c>
    </row>
    <row r="187" spans="1:16" hidden="1" x14ac:dyDescent="0.25">
      <c r="A187" t="s">
        <v>295</v>
      </c>
      <c r="B187" s="3">
        <v>30.724</v>
      </c>
      <c r="C187" s="3">
        <v>-87.022000000000006</v>
      </c>
      <c r="D187" s="5" t="s">
        <v>1304</v>
      </c>
      <c r="E187" s="5">
        <v>1</v>
      </c>
      <c r="F187" s="7">
        <v>1</v>
      </c>
      <c r="G187">
        <f>22.7/2</f>
        <v>11.35</v>
      </c>
      <c r="H187" s="5">
        <f t="shared" si="7"/>
        <v>50.562831250000002</v>
      </c>
      <c r="I187">
        <f>4.5*5.5/2/H187</f>
        <v>0.24474499734426955</v>
      </c>
      <c r="J187">
        <f>6.3*2.5/2/H187</f>
        <v>0.15574681649180791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f>2.3/H187</f>
        <v>4.5487959102369288E-2</v>
      </c>
    </row>
    <row r="188" spans="1:16" hidden="1" x14ac:dyDescent="0.25">
      <c r="A188" t="s">
        <v>1000</v>
      </c>
      <c r="B188" s="5">
        <v>30.741</v>
      </c>
      <c r="C188" s="5">
        <v>-98.234999999999999</v>
      </c>
      <c r="D188" s="5" t="s">
        <v>1387</v>
      </c>
      <c r="E188" s="5">
        <v>1</v>
      </c>
      <c r="F188" s="7">
        <v>1</v>
      </c>
      <c r="G188">
        <v>11</v>
      </c>
      <c r="H188" s="5">
        <f t="shared" si="7"/>
        <v>47.4925</v>
      </c>
      <c r="I188">
        <f>2*2/H188</f>
        <v>8.422382481444439E-2</v>
      </c>
      <c r="J188">
        <f>1.3*2.2/H188</f>
        <v>6.022003474232774E-2</v>
      </c>
      <c r="K188">
        <f>4*6.5/2/H188</f>
        <v>0.27372743064694427</v>
      </c>
      <c r="L188">
        <f>3*5.5/2/H188</f>
        <v>0.17371163867979156</v>
      </c>
      <c r="M188">
        <f>3/H188</f>
        <v>6.3167868610833289E-2</v>
      </c>
      <c r="N188">
        <f>2/H188</f>
        <v>4.2111912407222195E-2</v>
      </c>
      <c r="O188">
        <f>5/H188</f>
        <v>0.10527978101805548</v>
      </c>
      <c r="P188">
        <f>1.5/H188</f>
        <v>3.1583934305416644E-2</v>
      </c>
    </row>
    <row r="189" spans="1:16" hidden="1" x14ac:dyDescent="0.25">
      <c r="A189" t="s">
        <v>289</v>
      </c>
      <c r="B189" s="5">
        <v>30.78</v>
      </c>
      <c r="C189" s="5">
        <v>-86.522999999999996</v>
      </c>
      <c r="D189" s="5" t="s">
        <v>1300</v>
      </c>
      <c r="E189" s="5">
        <v>1</v>
      </c>
      <c r="F189" s="7">
        <v>1</v>
      </c>
      <c r="G189">
        <v>10</v>
      </c>
      <c r="H189" s="5">
        <f t="shared" si="7"/>
        <v>39.25</v>
      </c>
      <c r="I189">
        <f>(H189-4*4.5/2)/H189</f>
        <v>0.77070063694267521</v>
      </c>
      <c r="J189">
        <f>(H189-5*6/2)/H189</f>
        <v>0.61783439490445857</v>
      </c>
      <c r="K189">
        <f>(H189-9*3/2)/H189</f>
        <v>0.6560509554140127</v>
      </c>
      <c r="L189">
        <f>5*5/2/H189</f>
        <v>0.31847133757961782</v>
      </c>
      <c r="M189">
        <f>5*6.5/2/H189</f>
        <v>0.4140127388535032</v>
      </c>
      <c r="N189">
        <v>0</v>
      </c>
      <c r="O189">
        <v>0</v>
      </c>
      <c r="P189">
        <v>0</v>
      </c>
    </row>
    <row r="190" spans="1:16" hidden="1" x14ac:dyDescent="0.25">
      <c r="A190" t="s">
        <v>316</v>
      </c>
      <c r="B190" s="5">
        <v>30.783000000000001</v>
      </c>
      <c r="C190" s="5">
        <v>-83.277000000000001</v>
      </c>
      <c r="D190" s="5" t="s">
        <v>1284</v>
      </c>
      <c r="E190" s="5">
        <v>1</v>
      </c>
      <c r="F190" s="7">
        <v>1</v>
      </c>
      <c r="G190">
        <f>23.3/2</f>
        <v>11.65</v>
      </c>
      <c r="H190" s="5">
        <f t="shared" si="7"/>
        <v>53.271081250000009</v>
      </c>
      <c r="I190">
        <f>0.4/H190</f>
        <v>7.5087644292934257E-3</v>
      </c>
      <c r="J190">
        <v>0</v>
      </c>
      <c r="K190">
        <v>0</v>
      </c>
      <c r="L190">
        <v>0</v>
      </c>
      <c r="M190">
        <f>3.5*6/2/H190</f>
        <v>0.19710506626895241</v>
      </c>
      <c r="N190">
        <f>9*6.5/2/H190</f>
        <v>0.54907839889208176</v>
      </c>
      <c r="O190">
        <f>6*7/2/H190</f>
        <v>0.39421013253790482</v>
      </c>
      <c r="P190">
        <f>11*3/2/H190</f>
        <v>0.30973653270835377</v>
      </c>
    </row>
    <row r="191" spans="1:16" hidden="1" x14ac:dyDescent="0.25">
      <c r="A191" t="s">
        <v>299</v>
      </c>
      <c r="B191" s="3">
        <v>30.835999999999999</v>
      </c>
      <c r="C191" s="3">
        <v>-85.183999999999997</v>
      </c>
      <c r="D191" s="3" t="s">
        <v>1225</v>
      </c>
      <c r="E191" s="5">
        <v>1</v>
      </c>
      <c r="F191" s="7">
        <v>1</v>
      </c>
      <c r="G191">
        <v>12</v>
      </c>
      <c r="H191" s="5">
        <f t="shared" si="7"/>
        <v>56.519999999999996</v>
      </c>
      <c r="I191">
        <v>0</v>
      </c>
      <c r="J191">
        <v>0</v>
      </c>
      <c r="K191">
        <f>4*5.5/2/H191</f>
        <v>0.19462137296532203</v>
      </c>
      <c r="L191">
        <f>6.5*11/2/H191</f>
        <v>0.6325194621372966</v>
      </c>
      <c r="M191">
        <f>3*8/2/H191</f>
        <v>0.21231422505307856</v>
      </c>
      <c r="N191">
        <v>0</v>
      </c>
      <c r="O191">
        <v>0</v>
      </c>
      <c r="P191">
        <v>0</v>
      </c>
    </row>
    <row r="192" spans="1:16" hidden="1" x14ac:dyDescent="0.25">
      <c r="A192" t="s">
        <v>1025</v>
      </c>
      <c r="B192" s="5">
        <v>30.917000000000002</v>
      </c>
      <c r="C192" s="5">
        <v>-102.917</v>
      </c>
      <c r="D192" s="5" t="s">
        <v>1410</v>
      </c>
      <c r="E192" s="5">
        <v>1</v>
      </c>
      <c r="F192" s="7">
        <v>1</v>
      </c>
      <c r="G192">
        <f>22.5/2</f>
        <v>11.25</v>
      </c>
      <c r="H192" s="5">
        <f t="shared" si="7"/>
        <v>49.675781250000007</v>
      </c>
      <c r="I192">
        <f>3/H192</f>
        <v>6.0391601792875671E-2</v>
      </c>
      <c r="J192">
        <f>(H192-7.2*8/2)/H192</f>
        <v>0.42024062278839358</v>
      </c>
      <c r="K192">
        <f>1/H192</f>
        <v>2.0130533930958556E-2</v>
      </c>
      <c r="L192">
        <f>6.5*4/2/H192</f>
        <v>0.26169694110246122</v>
      </c>
      <c r="M192">
        <f>2/H192</f>
        <v>4.0261067861917112E-2</v>
      </c>
      <c r="N192">
        <f>1.5*1.5/H192</f>
        <v>4.5293701344656753E-2</v>
      </c>
      <c r="O192">
        <v>0</v>
      </c>
      <c r="P192">
        <v>0</v>
      </c>
    </row>
    <row r="193" spans="1:16" hidden="1" x14ac:dyDescent="0.25">
      <c r="A193" t="s">
        <v>332</v>
      </c>
      <c r="B193" s="5">
        <v>30.968</v>
      </c>
      <c r="C193" s="5">
        <v>-83.192999999999998</v>
      </c>
      <c r="D193" s="5" t="s">
        <v>2283</v>
      </c>
      <c r="E193" s="5">
        <v>1</v>
      </c>
      <c r="F193" s="7">
        <v>0</v>
      </c>
      <c r="G193">
        <f>21.5/2</f>
        <v>10.75</v>
      </c>
      <c r="H193" s="5">
        <f t="shared" si="7"/>
        <v>45.358281250000005</v>
      </c>
      <c r="I193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</row>
    <row r="194" spans="1:16" hidden="1" x14ac:dyDescent="0.25">
      <c r="A194" t="s">
        <v>1</v>
      </c>
      <c r="B194" s="5">
        <v>31.042999999999999</v>
      </c>
      <c r="C194" s="5">
        <v>-86.311999999999998</v>
      </c>
      <c r="D194" s="5" t="s">
        <v>1212</v>
      </c>
      <c r="E194" s="5">
        <v>1</v>
      </c>
      <c r="F194" s="7">
        <v>1</v>
      </c>
      <c r="G194">
        <v>10</v>
      </c>
      <c r="H194" s="5">
        <f t="shared" si="7"/>
        <v>39.25</v>
      </c>
      <c r="I194">
        <f>3.1*3/2/H194</f>
        <v>0.11847133757961785</v>
      </c>
      <c r="J194">
        <f>0.5*2/H194</f>
        <v>2.5477707006369428E-2</v>
      </c>
      <c r="K194">
        <f>5*1.5/H194</f>
        <v>0.19108280254777071</v>
      </c>
      <c r="L194">
        <f>3.2*3.2/H194</f>
        <v>0.26089171974522296</v>
      </c>
      <c r="M194">
        <f>1.3*3/2/H194</f>
        <v>4.9681528662420385E-2</v>
      </c>
      <c r="N194">
        <f>6.5*4.4/2/H194</f>
        <v>0.36433121019108283</v>
      </c>
      <c r="O194">
        <f>(H194-4*4/2)/H194</f>
        <v>0.79617834394904463</v>
      </c>
      <c r="P194">
        <f>(H194-3*2.7/2)/H194</f>
        <v>0.89681528662420384</v>
      </c>
    </row>
    <row r="195" spans="1:16" hidden="1" x14ac:dyDescent="0.25">
      <c r="A195" t="s">
        <v>441</v>
      </c>
      <c r="B195" s="5">
        <v>31.045000000000002</v>
      </c>
      <c r="C195" s="5">
        <v>-93.191999999999993</v>
      </c>
      <c r="D195" s="5" t="s">
        <v>1341</v>
      </c>
      <c r="E195" s="5">
        <v>1</v>
      </c>
      <c r="F195" s="7">
        <v>1</v>
      </c>
      <c r="G195">
        <f>24.8/2</f>
        <v>12.4</v>
      </c>
      <c r="H195" s="5">
        <f t="shared" si="7"/>
        <v>60.3508</v>
      </c>
      <c r="I195">
        <v>0</v>
      </c>
      <c r="J195">
        <f>2.3*9/2/H195</f>
        <v>0.17149731238028326</v>
      </c>
      <c r="K195">
        <f>4.5/H195</f>
        <v>7.4564048860992729E-2</v>
      </c>
      <c r="L195">
        <v>0</v>
      </c>
      <c r="M195">
        <f>6*3/2/H195</f>
        <v>0.14912809772198546</v>
      </c>
      <c r="N195">
        <f>7.5*2.5/H195</f>
        <v>0.31068353692080303</v>
      </c>
      <c r="O195">
        <f>4/H195</f>
        <v>6.6279154543104651E-2</v>
      </c>
      <c r="P195">
        <f>1.5/H195</f>
        <v>2.4854682953664244E-2</v>
      </c>
    </row>
    <row r="196" spans="1:16" hidden="1" x14ac:dyDescent="0.25">
      <c r="A196" t="s">
        <v>1009</v>
      </c>
      <c r="B196" s="5">
        <v>31.07</v>
      </c>
      <c r="C196" s="5">
        <v>-97.822000000000003</v>
      </c>
      <c r="D196" s="5" t="s">
        <v>1395</v>
      </c>
      <c r="E196" s="5">
        <v>1</v>
      </c>
      <c r="F196" s="7">
        <v>1</v>
      </c>
      <c r="G196">
        <f>19.5/2</f>
        <v>9.75</v>
      </c>
      <c r="H196" s="5">
        <f t="shared" si="7"/>
        <v>37.312031250000004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idden="1" x14ac:dyDescent="0.25">
      <c r="A197" t="s">
        <v>455</v>
      </c>
      <c r="B197" s="5">
        <v>31.109000000000002</v>
      </c>
      <c r="C197" s="5">
        <v>-92.962000000000003</v>
      </c>
      <c r="D197" s="5" t="s">
        <v>1453</v>
      </c>
      <c r="E197" s="5">
        <v>1</v>
      </c>
      <c r="F197" s="7">
        <v>0</v>
      </c>
      <c r="G197">
        <f>22.8/2</f>
        <v>11.4</v>
      </c>
      <c r="H197" s="5">
        <f t="shared" si="7"/>
        <v>51.009300000000003</v>
      </c>
      <c r="I197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</row>
    <row r="198" spans="1:16" hidden="1" x14ac:dyDescent="0.25">
      <c r="A198" t="s">
        <v>1008</v>
      </c>
      <c r="B198" s="1">
        <v>31.134</v>
      </c>
      <c r="C198" s="1">
        <v>-97.712999999999994</v>
      </c>
      <c r="D198" s="1" t="s">
        <v>1394</v>
      </c>
      <c r="E198">
        <v>1</v>
      </c>
      <c r="F198" s="7">
        <v>1</v>
      </c>
      <c r="G198" s="5">
        <f>9.5</f>
        <v>9.5</v>
      </c>
      <c r="H198" s="5">
        <f t="shared" si="7"/>
        <v>35.423124999999999</v>
      </c>
      <c r="I198" s="5">
        <f>1.8*2.5/H198</f>
        <v>0.12703565820350407</v>
      </c>
      <c r="J198" s="5">
        <f>1/H198</f>
        <v>2.8230146267445348E-2</v>
      </c>
      <c r="K198" s="5">
        <f>5*7/2/H198</f>
        <v>0.4940275596802936</v>
      </c>
      <c r="L198" s="5">
        <f>6*6/2/H198</f>
        <v>0.50814263281401628</v>
      </c>
      <c r="M198" s="5">
        <v>0</v>
      </c>
      <c r="N198" s="5">
        <v>0</v>
      </c>
      <c r="O198" s="5">
        <v>0</v>
      </c>
      <c r="P198" s="5">
        <v>0</v>
      </c>
    </row>
    <row r="199" spans="1:16" hidden="1" x14ac:dyDescent="0.25">
      <c r="A199" t="s">
        <v>1007</v>
      </c>
      <c r="B199" s="1">
        <v>31.134</v>
      </c>
      <c r="C199" s="1">
        <v>-97.712999999999994</v>
      </c>
      <c r="D199" s="1" t="s">
        <v>1393</v>
      </c>
      <c r="E199" s="5">
        <v>1</v>
      </c>
      <c r="F199" s="7">
        <v>1</v>
      </c>
      <c r="G199">
        <f>9.5</f>
        <v>9.5</v>
      </c>
      <c r="H199" s="5">
        <f t="shared" si="7"/>
        <v>35.423124999999999</v>
      </c>
      <c r="I199">
        <f>1.8*2.5/H199</f>
        <v>0.12703565820350407</v>
      </c>
      <c r="J199">
        <f>1/H199</f>
        <v>2.8230146267445348E-2</v>
      </c>
      <c r="K199">
        <f>5*7/2/H199</f>
        <v>0.4940275596802936</v>
      </c>
      <c r="L199">
        <f>6*6/2/H199</f>
        <v>0.50814263281401628</v>
      </c>
      <c r="M199">
        <v>0</v>
      </c>
      <c r="N199">
        <v>0</v>
      </c>
      <c r="O199">
        <v>0</v>
      </c>
      <c r="P199">
        <v>0</v>
      </c>
    </row>
    <row r="200" spans="1:16" hidden="1" x14ac:dyDescent="0.25">
      <c r="A200" t="s">
        <v>594</v>
      </c>
      <c r="B200" s="5">
        <v>31.178000000000001</v>
      </c>
      <c r="C200" s="5">
        <v>-90.471999999999994</v>
      </c>
      <c r="D200" s="5" t="s">
        <v>1338</v>
      </c>
      <c r="E200" s="5">
        <v>1</v>
      </c>
      <c r="F200" s="7">
        <v>1</v>
      </c>
      <c r="G200">
        <v>10.4</v>
      </c>
      <c r="H200" s="5">
        <f t="shared" si="7"/>
        <v>42.452800000000011</v>
      </c>
      <c r="I200">
        <f>3/H200</f>
        <v>7.0666716918554237E-2</v>
      </c>
      <c r="J200">
        <f>3.5*4.5/H200</f>
        <v>0.37100026382240975</v>
      </c>
      <c r="K200">
        <f>(H200-4*4.5/2)/H200</f>
        <v>0.7879998492443373</v>
      </c>
      <c r="L200">
        <f>6.5*7.5/2/H200</f>
        <v>0.57416707496325314</v>
      </c>
      <c r="M200">
        <f>1.5/H200</f>
        <v>3.5333358459277119E-2</v>
      </c>
      <c r="N200">
        <f>(H200-6*6.5/2)/H200</f>
        <v>0.54066634002939751</v>
      </c>
      <c r="O200">
        <f>(H200-5.7*6.5/2)/H200</f>
        <v>0.5636330230279275</v>
      </c>
      <c r="P200">
        <f>3.5*3/2/H200</f>
        <v>0.12366675460746991</v>
      </c>
    </row>
    <row r="201" spans="1:16" hidden="1" x14ac:dyDescent="0.25">
      <c r="A201" t="s">
        <v>1043</v>
      </c>
      <c r="B201" s="5">
        <v>31.178999999999998</v>
      </c>
      <c r="C201" s="5">
        <v>-99.323999999999998</v>
      </c>
      <c r="D201" s="5" t="s">
        <v>1603</v>
      </c>
      <c r="E201">
        <v>1</v>
      </c>
      <c r="F201" s="7">
        <v>0</v>
      </c>
      <c r="G201">
        <f>23.5/2</f>
        <v>11.75</v>
      </c>
      <c r="H201" s="5">
        <f t="shared" si="7"/>
        <v>54.189531250000002</v>
      </c>
      <c r="I201">
        <v>0</v>
      </c>
      <c r="J201">
        <v>0</v>
      </c>
      <c r="K201">
        <f>4/H201</f>
        <v>7.3814995400979772E-2</v>
      </c>
      <c r="L201">
        <f>2.5*8.5/2/H201</f>
        <v>0.19607108153385253</v>
      </c>
      <c r="M201">
        <f>1.5/H201</f>
        <v>2.7680623275367418E-2</v>
      </c>
      <c r="N201">
        <v>0</v>
      </c>
      <c r="O201" s="5">
        <v>0</v>
      </c>
      <c r="P201" s="5">
        <v>0</v>
      </c>
    </row>
    <row r="202" spans="1:16" hidden="1" x14ac:dyDescent="0.25">
      <c r="A202" t="s">
        <v>974</v>
      </c>
      <c r="B202" s="5">
        <v>31.234000000000002</v>
      </c>
      <c r="C202" s="5">
        <v>-94.75</v>
      </c>
      <c r="D202" s="5" t="s">
        <v>1356</v>
      </c>
      <c r="E202" s="5">
        <v>1</v>
      </c>
      <c r="F202" s="7">
        <v>0</v>
      </c>
      <c r="G202">
        <v>10</v>
      </c>
      <c r="H202" s="5">
        <f t="shared" si="7"/>
        <v>39.25</v>
      </c>
      <c r="I202">
        <f>7*3/2/H202</f>
        <v>0.26751592356687898</v>
      </c>
      <c r="J202">
        <v>0</v>
      </c>
      <c r="K202">
        <v>0</v>
      </c>
      <c r="L202">
        <v>0</v>
      </c>
      <c r="M202">
        <v>0</v>
      </c>
      <c r="N202">
        <f>2/H202</f>
        <v>5.0955414012738856E-2</v>
      </c>
      <c r="O202">
        <v>0</v>
      </c>
      <c r="P202">
        <f>1/H202</f>
        <v>2.5477707006369428E-2</v>
      </c>
    </row>
    <row r="203" spans="1:16" hidden="1" x14ac:dyDescent="0.25">
      <c r="A203" t="s">
        <v>313</v>
      </c>
      <c r="B203" s="5">
        <v>31.251999999999999</v>
      </c>
      <c r="C203" s="5">
        <v>-81.391000000000005</v>
      </c>
      <c r="D203" s="5" t="s">
        <v>1275</v>
      </c>
      <c r="E203">
        <v>1</v>
      </c>
      <c r="F203" s="7">
        <v>0</v>
      </c>
      <c r="G203">
        <v>11.5</v>
      </c>
      <c r="H203" s="5">
        <f t="shared" si="7"/>
        <v>51.908124999999998</v>
      </c>
      <c r="I203">
        <f>10*5/2/H203</f>
        <v>0.48162017025273018</v>
      </c>
      <c r="J203">
        <v>0</v>
      </c>
      <c r="K203">
        <v>0</v>
      </c>
      <c r="L203">
        <v>0</v>
      </c>
      <c r="M203">
        <f>6/H203</f>
        <v>0.11558884086065525</v>
      </c>
      <c r="N203">
        <v>0</v>
      </c>
      <c r="O203">
        <v>0</v>
      </c>
      <c r="P203">
        <f>5*8.5/2/H203</f>
        <v>0.40937714471482067</v>
      </c>
    </row>
    <row r="204" spans="1:16" hidden="1" x14ac:dyDescent="0.25">
      <c r="A204" t="s">
        <v>312</v>
      </c>
      <c r="B204" s="5">
        <v>31.259</v>
      </c>
      <c r="C204" s="5">
        <v>-81.450999999999993</v>
      </c>
      <c r="D204" s="5" t="s">
        <v>1274</v>
      </c>
      <c r="E204">
        <v>1</v>
      </c>
      <c r="F204" s="7">
        <v>0</v>
      </c>
      <c r="G204">
        <v>11</v>
      </c>
      <c r="H204" s="5">
        <f t="shared" si="7"/>
        <v>47.4925</v>
      </c>
      <c r="I204">
        <f>7*3/2/H204</f>
        <v>0.22108754013791651</v>
      </c>
      <c r="J204">
        <v>0</v>
      </c>
      <c r="K204">
        <v>0</v>
      </c>
      <c r="L204">
        <v>0</v>
      </c>
      <c r="M204">
        <f>6*2.5/2/H204</f>
        <v>0.15791967152708322</v>
      </c>
      <c r="N204">
        <v>0</v>
      </c>
      <c r="O204">
        <v>0</v>
      </c>
      <c r="P204">
        <f>7*3/2/H204</f>
        <v>0.22108754013791651</v>
      </c>
    </row>
    <row r="205" spans="1:16" hidden="1" x14ac:dyDescent="0.25">
      <c r="A205" t="s">
        <v>590</v>
      </c>
      <c r="B205" s="5">
        <v>31.265000000000001</v>
      </c>
      <c r="C205" s="5">
        <v>-89.253</v>
      </c>
      <c r="D205" s="5" t="s">
        <v>2323</v>
      </c>
      <c r="E205">
        <v>1</v>
      </c>
      <c r="F205" s="7">
        <v>1</v>
      </c>
      <c r="G205">
        <f>25.5/2</f>
        <v>12.75</v>
      </c>
      <c r="H205" s="5">
        <f t="shared" si="7"/>
        <v>63.805781250000003</v>
      </c>
      <c r="I205">
        <f>9/H205</f>
        <v>0.14105304917021136</v>
      </c>
      <c r="J205">
        <f>2.5*4.5/2/H205</f>
        <v>8.8158155731382096E-2</v>
      </c>
      <c r="K205">
        <f>2.5*1.5/H205</f>
        <v>5.8772103820921399E-2</v>
      </c>
      <c r="L205">
        <v>0</v>
      </c>
      <c r="M205">
        <v>0</v>
      </c>
      <c r="N205">
        <f>6/H205</f>
        <v>9.4035366113474239E-2</v>
      </c>
      <c r="O205">
        <f>5/H205</f>
        <v>7.8362805094561866E-2</v>
      </c>
      <c r="P205">
        <f>6/H205</f>
        <v>9.4035366113474239E-2</v>
      </c>
    </row>
    <row r="206" spans="1:16" hidden="1" x14ac:dyDescent="0.25">
      <c r="A206" t="s">
        <v>14</v>
      </c>
      <c r="B206" s="5">
        <v>31.277999999999999</v>
      </c>
      <c r="C206" s="5">
        <v>-85.712999999999994</v>
      </c>
      <c r="D206" s="5" t="s">
        <v>1318</v>
      </c>
      <c r="E206" s="5">
        <v>1</v>
      </c>
      <c r="F206" s="7">
        <v>0</v>
      </c>
      <c r="G206">
        <f>23.5/2</f>
        <v>11.75</v>
      </c>
      <c r="H206" s="5">
        <f t="shared" si="7"/>
        <v>54.189531250000002</v>
      </c>
      <c r="I206">
        <v>0</v>
      </c>
      <c r="J206">
        <f>1.5/H206</f>
        <v>2.7680623275367418E-2</v>
      </c>
      <c r="K206">
        <v>0</v>
      </c>
      <c r="L206">
        <v>0</v>
      </c>
      <c r="M206">
        <v>0</v>
      </c>
      <c r="N206">
        <f>1.5/H206</f>
        <v>2.7680623275367418E-2</v>
      </c>
      <c r="O206">
        <f>6/H206</f>
        <v>0.11072249310146967</v>
      </c>
      <c r="P206">
        <v>0</v>
      </c>
    </row>
    <row r="207" spans="1:16" hidden="1" x14ac:dyDescent="0.25">
      <c r="A207" t="s">
        <v>15</v>
      </c>
      <c r="B207" s="5">
        <v>31.309000000000001</v>
      </c>
      <c r="C207" s="5">
        <v>-86.394000000000005</v>
      </c>
      <c r="D207" s="5" t="s">
        <v>1320</v>
      </c>
      <c r="E207">
        <v>1</v>
      </c>
      <c r="F207" s="7">
        <v>1</v>
      </c>
      <c r="G207">
        <f>19.5/2</f>
        <v>9.75</v>
      </c>
      <c r="H207" s="5">
        <f t="shared" si="7"/>
        <v>37.312031250000004</v>
      </c>
      <c r="I207">
        <f>4.5*1.6/H207</f>
        <v>0.19296724833226547</v>
      </c>
      <c r="J207">
        <f>4*7/2/H207</f>
        <v>0.37521409397940508</v>
      </c>
      <c r="K207">
        <f>2.5*1.2/H207</f>
        <v>8.0403020138443942E-2</v>
      </c>
      <c r="L207">
        <f>(H207-2.5*3/2)/H207</f>
        <v>0.89949622482694502</v>
      </c>
      <c r="M207">
        <f>(H207-2.5*2.5/2)/H207</f>
        <v>0.9162468540224542</v>
      </c>
      <c r="N207">
        <f>4.5*5.8/2/H207</f>
        <v>0.34975313760223115</v>
      </c>
      <c r="O207">
        <f>5*4.8/2/H207</f>
        <v>0.32161208055377577</v>
      </c>
      <c r="P207">
        <v>0</v>
      </c>
    </row>
    <row r="208" spans="1:16" hidden="1" x14ac:dyDescent="0.25">
      <c r="A208" t="s">
        <v>456</v>
      </c>
      <c r="B208" s="5">
        <v>31.317</v>
      </c>
      <c r="C208" s="5">
        <v>-92.55</v>
      </c>
      <c r="D208" s="5" t="s">
        <v>2276</v>
      </c>
      <c r="E208">
        <v>1</v>
      </c>
      <c r="F208" s="7">
        <v>0</v>
      </c>
      <c r="G208">
        <f>25.4/2</f>
        <v>12.7</v>
      </c>
      <c r="H208" s="5">
        <f t="shared" si="7"/>
        <v>63.306324999999994</v>
      </c>
      <c r="I208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</row>
    <row r="209" spans="1:16" hidden="1" x14ac:dyDescent="0.25">
      <c r="A209" t="s">
        <v>13</v>
      </c>
      <c r="B209" s="5">
        <v>31.321000000000002</v>
      </c>
      <c r="C209" s="5">
        <v>-85.45</v>
      </c>
      <c r="D209" s="5" t="s">
        <v>1317</v>
      </c>
      <c r="E209">
        <v>1</v>
      </c>
      <c r="F209" s="7">
        <v>1</v>
      </c>
      <c r="G209">
        <v>9.5</v>
      </c>
      <c r="H209" s="5">
        <f t="shared" si="7"/>
        <v>35.423124999999999</v>
      </c>
      <c r="I209">
        <v>0</v>
      </c>
      <c r="J209">
        <v>0</v>
      </c>
      <c r="K209">
        <f>2/H209</f>
        <v>5.6460292534890696E-2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hidden="1" x14ac:dyDescent="0.25">
      <c r="A210" t="s">
        <v>7</v>
      </c>
      <c r="B210" s="5">
        <v>31.346</v>
      </c>
      <c r="C210" s="5">
        <v>-85.653999999999996</v>
      </c>
      <c r="D210" s="5" t="s">
        <v>1307</v>
      </c>
      <c r="E210">
        <v>1</v>
      </c>
      <c r="F210" s="7">
        <v>0</v>
      </c>
      <c r="G210">
        <f>24.8/2</f>
        <v>12.4</v>
      </c>
      <c r="H210" s="5">
        <f t="shared" si="7"/>
        <v>60.3508</v>
      </c>
      <c r="I210">
        <f>6*4/2/H210</f>
        <v>0.19883746362931395</v>
      </c>
      <c r="J210">
        <v>0</v>
      </c>
      <c r="K210">
        <v>0</v>
      </c>
      <c r="L210">
        <f>2*6/H210</f>
        <v>0.19883746362931395</v>
      </c>
      <c r="M210">
        <f>2.5/H210</f>
        <v>4.1424471589440404E-2</v>
      </c>
      <c r="N210">
        <v>0</v>
      </c>
      <c r="O210">
        <v>0</v>
      </c>
      <c r="P210">
        <f>3*8.5/2/H210</f>
        <v>0.21126480510614606</v>
      </c>
    </row>
    <row r="211" spans="1:16" hidden="1" x14ac:dyDescent="0.25">
      <c r="A211" t="s">
        <v>1027</v>
      </c>
      <c r="B211" s="5">
        <v>31.350999999999999</v>
      </c>
      <c r="C211" s="5">
        <v>-100.494</v>
      </c>
      <c r="D211" s="5" t="s">
        <v>1412</v>
      </c>
      <c r="E211" s="5">
        <v>1</v>
      </c>
      <c r="F211" s="7">
        <v>1</v>
      </c>
      <c r="G211">
        <v>10</v>
      </c>
      <c r="H211" s="5">
        <f t="shared" si="7"/>
        <v>39.25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idden="1" x14ac:dyDescent="0.25">
      <c r="A212" t="s">
        <v>8</v>
      </c>
      <c r="B212" s="5">
        <v>31.356000000000002</v>
      </c>
      <c r="C212" s="5">
        <v>-85.751000000000005</v>
      </c>
      <c r="D212" s="5" t="s">
        <v>1308</v>
      </c>
      <c r="E212" s="5">
        <v>1</v>
      </c>
      <c r="F212" s="7">
        <v>0</v>
      </c>
      <c r="G212">
        <v>12</v>
      </c>
      <c r="H212" s="5">
        <f t="shared" si="7"/>
        <v>56.519999999999996</v>
      </c>
      <c r="I212">
        <f>0.3/H212</f>
        <v>5.3078556263269645E-3</v>
      </c>
      <c r="J212">
        <f>5*5.5/2/H212</f>
        <v>0.24327671620665253</v>
      </c>
      <c r="K212">
        <f>7.5*4.5/2/H212</f>
        <v>0.29856687898089174</v>
      </c>
      <c r="L212">
        <v>0</v>
      </c>
      <c r="M212">
        <v>0</v>
      </c>
      <c r="N212">
        <f>4.5*5/2/H212</f>
        <v>0.19904458598726116</v>
      </c>
      <c r="O212">
        <f>6*3.5/2/H212</f>
        <v>0.18577494692144375</v>
      </c>
      <c r="P212">
        <f>10/H212</f>
        <v>0.17692852087756547</v>
      </c>
    </row>
    <row r="213" spans="1:16" hidden="1" x14ac:dyDescent="0.25">
      <c r="A213" t="s">
        <v>450</v>
      </c>
      <c r="B213" s="5">
        <v>31.395</v>
      </c>
      <c r="C213" s="5">
        <v>-92.296000000000006</v>
      </c>
      <c r="D213" s="5" t="s">
        <v>1365</v>
      </c>
      <c r="E213" s="5">
        <v>1</v>
      </c>
      <c r="F213" s="7">
        <v>0</v>
      </c>
      <c r="G213">
        <v>11.5</v>
      </c>
      <c r="H213" s="5">
        <f t="shared" si="7"/>
        <v>51.908124999999998</v>
      </c>
      <c r="I213">
        <f>2/H213</f>
        <v>3.8529613620218416E-2</v>
      </c>
      <c r="J213">
        <f>6*3/2/H213</f>
        <v>0.17338326129098286</v>
      </c>
      <c r="K213">
        <f>1.5/H213</f>
        <v>2.8897210215163813E-2</v>
      </c>
      <c r="L213">
        <v>0</v>
      </c>
      <c r="M213">
        <f>2.5/H213</f>
        <v>4.8162017025273021E-2</v>
      </c>
      <c r="N213">
        <v>0</v>
      </c>
      <c r="O213">
        <v>0</v>
      </c>
      <c r="P213">
        <v>0</v>
      </c>
    </row>
    <row r="214" spans="1:16" hidden="1" x14ac:dyDescent="0.25">
      <c r="A214" t="s">
        <v>453</v>
      </c>
      <c r="B214" s="5">
        <v>31.4</v>
      </c>
      <c r="C214" s="5">
        <v>-93.283000000000001</v>
      </c>
      <c r="D214" s="5" t="s">
        <v>1451</v>
      </c>
      <c r="E214" s="5">
        <v>1</v>
      </c>
      <c r="F214" s="7">
        <v>0</v>
      </c>
      <c r="G214">
        <f>22.5/2</f>
        <v>11.25</v>
      </c>
      <c r="H214" s="5">
        <f t="shared" si="7"/>
        <v>49.675781250000007</v>
      </c>
      <c r="I214">
        <f>3.9*9/2/H214</f>
        <v>0.35329087048832269</v>
      </c>
      <c r="J214">
        <f>6.5*8/2/H214</f>
        <v>0.52339388220492244</v>
      </c>
      <c r="K214">
        <f>7*5/2/H214</f>
        <v>0.35228434379177476</v>
      </c>
      <c r="L214">
        <f>8.5*6.5/2/H214</f>
        <v>0.55610599984273013</v>
      </c>
      <c r="M214">
        <f>5/H214</f>
        <v>0.10065266965479278</v>
      </c>
      <c r="N214">
        <f>3.5*5.5/2/H214</f>
        <v>0.1937563890854761</v>
      </c>
      <c r="O214">
        <f>5*8/2/H214</f>
        <v>0.4026106786191711</v>
      </c>
      <c r="P214">
        <f>6*8/2/H214</f>
        <v>0.48313281434300537</v>
      </c>
    </row>
    <row r="215" spans="1:16" hidden="1" x14ac:dyDescent="0.25">
      <c r="A215" t="s">
        <v>16</v>
      </c>
      <c r="B215" s="5">
        <v>31.416</v>
      </c>
      <c r="C215" s="5">
        <v>-87.043999999999997</v>
      </c>
      <c r="D215" s="5" t="s">
        <v>1321</v>
      </c>
      <c r="E215" s="5">
        <v>1</v>
      </c>
      <c r="F215" s="7">
        <v>1</v>
      </c>
      <c r="G215">
        <f>20.5/2</f>
        <v>10.25</v>
      </c>
      <c r="H215" s="5">
        <f t="shared" si="7"/>
        <v>41.237031250000001</v>
      </c>
      <c r="I215">
        <f>7*6/2/H215</f>
        <v>0.50925101452350552</v>
      </c>
      <c r="J215">
        <f>1.5/H215</f>
        <v>3.6375072465964678E-2</v>
      </c>
      <c r="K215">
        <f>0.6/H215</f>
        <v>1.455002898638587E-2</v>
      </c>
      <c r="L215">
        <v>0</v>
      </c>
      <c r="M215">
        <v>0</v>
      </c>
      <c r="N215">
        <f>3*3/2/H215</f>
        <v>0.10912521739789403</v>
      </c>
      <c r="O215">
        <f>7*7/2/H215</f>
        <v>0.59412618361075642</v>
      </c>
      <c r="P215">
        <f>8*7.5/2/H215</f>
        <v>0.7275014493192935</v>
      </c>
    </row>
    <row r="216" spans="1:16" hidden="1" x14ac:dyDescent="0.25">
      <c r="A216" t="s">
        <v>53</v>
      </c>
      <c r="B216" s="3">
        <v>31.417000000000002</v>
      </c>
      <c r="C216" s="3">
        <v>-110.85</v>
      </c>
      <c r="D216" s="3" t="s">
        <v>2321</v>
      </c>
      <c r="E216">
        <v>1</v>
      </c>
      <c r="F216" s="7">
        <v>1</v>
      </c>
      <c r="G216">
        <f>24.5/2</f>
        <v>12.25</v>
      </c>
      <c r="H216" s="5">
        <f t="shared" si="7"/>
        <v>58.899531250000003</v>
      </c>
      <c r="I216">
        <f>2.5*2.8/2/H216</f>
        <v>5.9423223338470964E-2</v>
      </c>
      <c r="J216">
        <f>2.2*2.5/2/H216</f>
        <v>4.6689675480227184E-2</v>
      </c>
      <c r="K216">
        <f>1.8*2.2/2/H216</f>
        <v>3.3616566345763578E-2</v>
      </c>
      <c r="L216">
        <f>2.3*2.6/2/H216</f>
        <v>5.076441079486519E-2</v>
      </c>
      <c r="M216">
        <f>1.5*1.5/2/H216</f>
        <v>1.9100321787365666E-2</v>
      </c>
      <c r="N216">
        <f>1.4*1.7/2/H216</f>
        <v>2.0203895935080127E-2</v>
      </c>
      <c r="O216">
        <f>2.5*2.2/2/H216</f>
        <v>4.6689675480227184E-2</v>
      </c>
      <c r="P216">
        <f>2.4*2.8/2/H216</f>
        <v>5.704629440493212E-2</v>
      </c>
    </row>
    <row r="217" spans="1:16" hidden="1" x14ac:dyDescent="0.25">
      <c r="A217" t="s">
        <v>54</v>
      </c>
      <c r="B217" s="5">
        <v>31.420999999999999</v>
      </c>
      <c r="C217" s="5">
        <v>-110.846</v>
      </c>
      <c r="D217" s="5" t="s">
        <v>1435</v>
      </c>
      <c r="E217">
        <v>1</v>
      </c>
      <c r="F217" s="7">
        <v>1</v>
      </c>
      <c r="G217">
        <f>22.4/2</f>
        <v>11.2</v>
      </c>
      <c r="H217" s="5">
        <f t="shared" si="7"/>
        <v>49.235199999999999</v>
      </c>
      <c r="I217">
        <f>2/H217</f>
        <v>4.0621344079032888E-2</v>
      </c>
      <c r="J217">
        <f>1/H217</f>
        <v>2.0310672039516444E-2</v>
      </c>
      <c r="K217">
        <f>2.5/H217</f>
        <v>5.0776680098791112E-2</v>
      </c>
      <c r="L217">
        <f>3/H217</f>
        <v>6.0932016118549329E-2</v>
      </c>
      <c r="M217">
        <f>0.8/H217</f>
        <v>1.6248537631613155E-2</v>
      </c>
      <c r="N217">
        <f>1/H217</f>
        <v>2.0310672039516444E-2</v>
      </c>
      <c r="O217">
        <f>1.5/H217</f>
        <v>3.0466008059274664E-2</v>
      </c>
      <c r="P217">
        <f>2/H217</f>
        <v>4.0621344079032888E-2</v>
      </c>
    </row>
    <row r="218" spans="1:16" hidden="1" x14ac:dyDescent="0.25">
      <c r="A218" t="s">
        <v>56</v>
      </c>
      <c r="B218" s="5">
        <v>31.469000000000001</v>
      </c>
      <c r="C218" s="5">
        <v>-109.604</v>
      </c>
      <c r="D218" s="5" t="s">
        <v>1437</v>
      </c>
      <c r="E218" s="5">
        <v>1</v>
      </c>
      <c r="F218" s="7">
        <v>0</v>
      </c>
      <c r="G218">
        <f>23.5/2</f>
        <v>11.75</v>
      </c>
      <c r="H218" s="5">
        <f t="shared" si="7"/>
        <v>54.189531250000002</v>
      </c>
      <c r="I218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</row>
    <row r="219" spans="1:16" hidden="1" x14ac:dyDescent="0.25">
      <c r="A219" t="s">
        <v>315</v>
      </c>
      <c r="B219" s="5">
        <v>31.536000000000001</v>
      </c>
      <c r="C219" s="5">
        <v>-84.194000000000003</v>
      </c>
      <c r="D219" s="5" t="s">
        <v>1282</v>
      </c>
      <c r="E219">
        <v>1</v>
      </c>
      <c r="F219" s="7">
        <v>1</v>
      </c>
      <c r="G219">
        <v>10</v>
      </c>
      <c r="H219" s="5">
        <f t="shared" si="7"/>
        <v>39.25</v>
      </c>
      <c r="I219">
        <f>6/H219</f>
        <v>0.15286624203821655</v>
      </c>
      <c r="J219">
        <f>0.8/H219</f>
        <v>2.0382165605095544E-2</v>
      </c>
      <c r="K219">
        <v>0</v>
      </c>
      <c r="L219">
        <v>0</v>
      </c>
      <c r="M219">
        <v>0</v>
      </c>
      <c r="N219">
        <f>2.4*4/2/H219</f>
        <v>0.12229299363057325</v>
      </c>
      <c r="O219">
        <v>0</v>
      </c>
      <c r="P219">
        <v>0</v>
      </c>
    </row>
    <row r="220" spans="1:16" hidden="1" x14ac:dyDescent="0.25">
      <c r="A220" t="s">
        <v>311</v>
      </c>
      <c r="B220" s="5">
        <v>31.536000000000001</v>
      </c>
      <c r="C220" s="5">
        <v>-82.507000000000005</v>
      </c>
      <c r="D220" s="5" t="s">
        <v>1273</v>
      </c>
      <c r="E220">
        <v>1</v>
      </c>
      <c r="F220" s="7">
        <v>1</v>
      </c>
      <c r="G220">
        <v>12</v>
      </c>
      <c r="H220" s="5">
        <f t="shared" si="7"/>
        <v>56.519999999999996</v>
      </c>
      <c r="I220">
        <f>7.5*3.5/2/H220</f>
        <v>0.23221868365180467</v>
      </c>
      <c r="J220">
        <f>4*4.5/2/H220</f>
        <v>0.15923566878980894</v>
      </c>
      <c r="K220">
        <f>12*3/H220</f>
        <v>0.63694267515923575</v>
      </c>
      <c r="L220">
        <f>5.5*8/H220</f>
        <v>0.77848549186128813</v>
      </c>
      <c r="M220">
        <f>0.5/H220</f>
        <v>8.8464260438782735E-3</v>
      </c>
      <c r="N220">
        <v>0</v>
      </c>
      <c r="O220">
        <f>2.3/H220</f>
        <v>4.0693559801840057E-2</v>
      </c>
      <c r="P220">
        <f>3.5/H220</f>
        <v>6.1924982307147915E-2</v>
      </c>
    </row>
    <row r="221" spans="1:16" hidden="1" x14ac:dyDescent="0.25">
      <c r="A221" t="s">
        <v>55</v>
      </c>
      <c r="B221" s="5">
        <v>31.588000000000001</v>
      </c>
      <c r="C221" s="5">
        <v>-110.34399999999999</v>
      </c>
      <c r="D221" s="5" t="s">
        <v>1436</v>
      </c>
      <c r="E221" s="5">
        <v>1</v>
      </c>
      <c r="F221" s="7">
        <v>1</v>
      </c>
      <c r="G221">
        <v>11</v>
      </c>
      <c r="H221" s="5">
        <f t="shared" si="7"/>
        <v>47.4925</v>
      </c>
      <c r="I221">
        <f>4/H221</f>
        <v>8.422382481444439E-2</v>
      </c>
      <c r="J221">
        <f>2*2.5/H221</f>
        <v>0.10527978101805548</v>
      </c>
      <c r="K221">
        <f>1.5/H221</f>
        <v>3.1583934305416644E-2</v>
      </c>
      <c r="L221">
        <v>0</v>
      </c>
      <c r="M221">
        <v>0</v>
      </c>
      <c r="N221">
        <v>0</v>
      </c>
      <c r="O221">
        <v>0</v>
      </c>
      <c r="P221">
        <f>2.5*2/H221</f>
        <v>0.10527978101805548</v>
      </c>
    </row>
    <row r="222" spans="1:16" hidden="1" x14ac:dyDescent="0.25">
      <c r="A222" t="s">
        <v>68</v>
      </c>
      <c r="B222" s="5">
        <v>31.606999999999999</v>
      </c>
      <c r="C222" s="5">
        <v>-110.428</v>
      </c>
      <c r="D222" s="5" t="s">
        <v>1449</v>
      </c>
      <c r="E222">
        <v>1</v>
      </c>
      <c r="F222" s="7">
        <v>1</v>
      </c>
      <c r="G222">
        <f>20.5/2</f>
        <v>10.25</v>
      </c>
      <c r="H222" s="5">
        <f t="shared" si="7"/>
        <v>41.237031250000001</v>
      </c>
      <c r="I222">
        <v>0</v>
      </c>
      <c r="J222">
        <v>0</v>
      </c>
      <c r="K222">
        <f>6/H222</f>
        <v>0.14550028986385871</v>
      </c>
      <c r="L222">
        <f>3.5/H222</f>
        <v>8.4875169087250915E-2</v>
      </c>
      <c r="M222">
        <f>5/H222</f>
        <v>0.12125024155321559</v>
      </c>
      <c r="N222">
        <f>1.5/H222</f>
        <v>3.6375072465964678E-2</v>
      </c>
      <c r="O222">
        <v>0</v>
      </c>
      <c r="P222">
        <f>2/H222</f>
        <v>4.8500096621286237E-2</v>
      </c>
    </row>
    <row r="223" spans="1:16" hidden="1" x14ac:dyDescent="0.25">
      <c r="A223" t="s">
        <v>1006</v>
      </c>
      <c r="B223" s="5">
        <v>31.611000000000001</v>
      </c>
      <c r="C223" s="5">
        <v>-97.228999999999999</v>
      </c>
      <c r="D223" s="5" t="s">
        <v>1392</v>
      </c>
      <c r="E223">
        <v>1</v>
      </c>
      <c r="F223" s="7">
        <v>1</v>
      </c>
      <c r="G223">
        <v>10</v>
      </c>
      <c r="H223" s="5">
        <f t="shared" si="7"/>
        <v>39.25</v>
      </c>
      <c r="I223">
        <v>0</v>
      </c>
      <c r="J223">
        <v>0</v>
      </c>
      <c r="K223">
        <f>0.6*0.6/H223</f>
        <v>9.171974522292993E-3</v>
      </c>
      <c r="L223">
        <v>0</v>
      </c>
      <c r="M223">
        <f>1.3*0.7/H223</f>
        <v>2.3184713375796175E-2</v>
      </c>
      <c r="N223">
        <v>0</v>
      </c>
      <c r="O223">
        <v>0</v>
      </c>
      <c r="P223">
        <f>1.4*1.8/H223</f>
        <v>6.4203821656050958E-2</v>
      </c>
    </row>
    <row r="224" spans="1:16" hidden="1" x14ac:dyDescent="0.25">
      <c r="A224" t="s">
        <v>1032</v>
      </c>
      <c r="B224" s="5">
        <v>31.78</v>
      </c>
      <c r="C224" s="5">
        <v>-103.20099999999999</v>
      </c>
      <c r="D224" s="5" t="s">
        <v>1417</v>
      </c>
      <c r="E224">
        <v>1</v>
      </c>
      <c r="F224" s="7">
        <v>1</v>
      </c>
      <c r="G224">
        <f>25.5/2</f>
        <v>12.75</v>
      </c>
      <c r="H224" s="5">
        <f t="shared" si="7"/>
        <v>63.805781250000003</v>
      </c>
      <c r="I224">
        <f>10*2.5/2/H224</f>
        <v>0.19590701273640465</v>
      </c>
      <c r="J224">
        <f>5*6/2/H224</f>
        <v>0.2350884152836856</v>
      </c>
      <c r="K224">
        <f>6.5*1.3/2/H224</f>
        <v>6.6216570304904784E-2</v>
      </c>
      <c r="L224">
        <f>2/H224</f>
        <v>3.1345122037824746E-2</v>
      </c>
      <c r="M224">
        <f>1/H224</f>
        <v>1.5672561018912373E-2</v>
      </c>
      <c r="N224">
        <f>1/H224</f>
        <v>1.5672561018912373E-2</v>
      </c>
      <c r="O224">
        <f>1/H224</f>
        <v>1.5672561018912373E-2</v>
      </c>
      <c r="P224">
        <f>2/H224</f>
        <v>3.1345122037824746E-2</v>
      </c>
    </row>
    <row r="225" spans="1:16" hidden="1" x14ac:dyDescent="0.25">
      <c r="A225" t="s">
        <v>1035</v>
      </c>
      <c r="B225" s="5">
        <v>31.794</v>
      </c>
      <c r="C225" s="5">
        <v>-98.956000000000003</v>
      </c>
      <c r="D225" s="5" t="s">
        <v>1419</v>
      </c>
      <c r="E225" s="5">
        <v>1</v>
      </c>
      <c r="F225" s="7">
        <v>0</v>
      </c>
      <c r="G225">
        <f>19/2</f>
        <v>9.5</v>
      </c>
      <c r="H225" s="5">
        <f t="shared" si="7"/>
        <v>35.423124999999999</v>
      </c>
      <c r="I225">
        <v>0</v>
      </c>
      <c r="J225">
        <f>0.5/H225</f>
        <v>1.4115073133722674E-2</v>
      </c>
      <c r="K225">
        <f>2/H225</f>
        <v>5.6460292534890696E-2</v>
      </c>
      <c r="L225">
        <v>0</v>
      </c>
      <c r="M225">
        <v>0</v>
      </c>
      <c r="N225">
        <v>0</v>
      </c>
      <c r="O225">
        <f>0.5/H225</f>
        <v>1.4115073133722674E-2</v>
      </c>
      <c r="P225">
        <v>0</v>
      </c>
    </row>
    <row r="226" spans="1:16" hidden="1" x14ac:dyDescent="0.25">
      <c r="A226" t="s">
        <v>1038</v>
      </c>
      <c r="B226">
        <v>31.811</v>
      </c>
      <c r="C226">
        <v>-106.376</v>
      </c>
      <c r="D226" t="s">
        <v>1431</v>
      </c>
      <c r="E226" s="5">
        <v>1</v>
      </c>
      <c r="F226" s="7">
        <v>0</v>
      </c>
      <c r="G226">
        <f>23.6/2</f>
        <v>11.8</v>
      </c>
      <c r="H226" s="5">
        <f t="shared" si="7"/>
        <v>54.651700000000012</v>
      </c>
      <c r="I226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</row>
    <row r="227" spans="1:16" hidden="1" x14ac:dyDescent="0.25">
      <c r="A227" t="s">
        <v>1026</v>
      </c>
      <c r="B227" s="5">
        <v>31.831</v>
      </c>
      <c r="C227" s="5">
        <v>-104.809</v>
      </c>
      <c r="D227" s="5" t="s">
        <v>1411</v>
      </c>
      <c r="E227" s="5">
        <v>1</v>
      </c>
      <c r="F227" s="7">
        <v>0</v>
      </c>
      <c r="G227">
        <f>19.4/2</f>
        <v>9.6999999999999993</v>
      </c>
      <c r="H227" s="5">
        <f t="shared" si="7"/>
        <v>36.930324999999996</v>
      </c>
      <c r="I227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</row>
    <row r="228" spans="1:16" hidden="1" x14ac:dyDescent="0.25">
      <c r="A228" t="s">
        <v>2</v>
      </c>
      <c r="B228" s="5">
        <v>31.846</v>
      </c>
      <c r="C228" s="5">
        <v>-86.611000000000004</v>
      </c>
      <c r="D228" s="5" t="s">
        <v>1213</v>
      </c>
      <c r="E228" s="5">
        <v>1</v>
      </c>
      <c r="F228" s="7">
        <v>1</v>
      </c>
      <c r="G228">
        <f>20.3/2</f>
        <v>10.15</v>
      </c>
      <c r="H228" s="5">
        <f t="shared" si="7"/>
        <v>40.436331250000002</v>
      </c>
      <c r="I228">
        <f>6*4.5/2/H228</f>
        <v>0.33385818106334758</v>
      </c>
      <c r="J228">
        <f>(H228-5*6/2)/H228</f>
        <v>0.6290464654851694</v>
      </c>
      <c r="K228">
        <f>4*5.5/2/H228</f>
        <v>0.27203259197754248</v>
      </c>
      <c r="L228">
        <f>4.5*9/2/H228</f>
        <v>0.50078727159502134</v>
      </c>
      <c r="M228">
        <f>8*7.5/2/H228</f>
        <v>0.7419070690296613</v>
      </c>
      <c r="N228">
        <f>7.5*4.5/2/H228</f>
        <v>0.41732272632918443</v>
      </c>
      <c r="O228">
        <f>2.5*5/2/H228</f>
        <v>0.15456397271451275</v>
      </c>
      <c r="P228">
        <f>1/H228</f>
        <v>2.4730235634322043E-2</v>
      </c>
    </row>
    <row r="229" spans="1:16" hidden="1" x14ac:dyDescent="0.25">
      <c r="A229" t="s">
        <v>12</v>
      </c>
      <c r="B229" s="5">
        <v>31.861000000000001</v>
      </c>
      <c r="C229" s="5">
        <v>-86.012</v>
      </c>
      <c r="D229" s="5" t="s">
        <v>1316</v>
      </c>
      <c r="E229" s="5">
        <v>1</v>
      </c>
      <c r="F229" s="7">
        <v>1</v>
      </c>
      <c r="G229">
        <f>22.5/2</f>
        <v>11.25</v>
      </c>
      <c r="H229" s="5">
        <f t="shared" si="7"/>
        <v>49.675781250000007</v>
      </c>
      <c r="I229">
        <v>0</v>
      </c>
      <c r="J229">
        <f>2.5*5/2/H229</f>
        <v>0.12581583706849098</v>
      </c>
      <c r="K229">
        <f>2.5*5.5/2/H229</f>
        <v>0.13839742077534006</v>
      </c>
      <c r="L229">
        <f>3.6*1.5/2/H229</f>
        <v>5.4352441613588105E-2</v>
      </c>
      <c r="M229">
        <f>5.5*1.5/H229</f>
        <v>0.16607690493040808</v>
      </c>
      <c r="N229">
        <f>3.5*4/2/H229</f>
        <v>0.14091373751670991</v>
      </c>
      <c r="O229">
        <f>5*8.5/2/H229</f>
        <v>0.42777384603286933</v>
      </c>
      <c r="P229">
        <f>1/H229</f>
        <v>2.0130533930958556E-2</v>
      </c>
    </row>
    <row r="230" spans="1:16" hidden="1" x14ac:dyDescent="0.25">
      <c r="A230" t="s">
        <v>310</v>
      </c>
      <c r="B230" s="5">
        <v>31.888999999999999</v>
      </c>
      <c r="C230" s="5">
        <v>-81.561999999999998</v>
      </c>
      <c r="D230" s="5" t="s">
        <v>1261</v>
      </c>
      <c r="E230" s="5">
        <v>1</v>
      </c>
      <c r="F230" s="7">
        <v>0</v>
      </c>
      <c r="G230">
        <v>9.5</v>
      </c>
      <c r="H230" s="5">
        <f t="shared" si="7"/>
        <v>35.423124999999999</v>
      </c>
      <c r="I230">
        <f>4/H230</f>
        <v>0.11292058506978139</v>
      </c>
      <c r="J230">
        <v>0</v>
      </c>
      <c r="K230">
        <f>1/H230</f>
        <v>2.8230146267445348E-2</v>
      </c>
      <c r="L230">
        <v>0</v>
      </c>
      <c r="M230" s="5">
        <v>0</v>
      </c>
      <c r="N230" s="5">
        <v>0</v>
      </c>
      <c r="O230" s="5">
        <v>0</v>
      </c>
      <c r="P230" s="5">
        <v>0</v>
      </c>
    </row>
    <row r="231" spans="1:16" hidden="1" x14ac:dyDescent="0.25">
      <c r="A231" t="s">
        <v>1029</v>
      </c>
      <c r="B231">
        <v>31.920999999999999</v>
      </c>
      <c r="C231">
        <v>-102.387</v>
      </c>
      <c r="D231" t="s">
        <v>1414</v>
      </c>
      <c r="E231" s="5">
        <v>1</v>
      </c>
      <c r="F231" s="7">
        <v>1</v>
      </c>
      <c r="G231">
        <v>10</v>
      </c>
      <c r="H231" s="5">
        <f t="shared" si="7"/>
        <v>39.25</v>
      </c>
      <c r="I231">
        <v>0</v>
      </c>
      <c r="J231">
        <v>0</v>
      </c>
      <c r="K231">
        <f>1/H231</f>
        <v>2.5477707006369428E-2</v>
      </c>
      <c r="L231">
        <v>0</v>
      </c>
      <c r="M231">
        <f>5.5/H231</f>
        <v>0.14012738853503184</v>
      </c>
      <c r="N231">
        <f>5.5/H231</f>
        <v>0.14012738853503184</v>
      </c>
      <c r="O231">
        <f>5.5/H231</f>
        <v>0.14012738853503184</v>
      </c>
      <c r="P231">
        <f>4/H231</f>
        <v>0.10191082802547771</v>
      </c>
    </row>
    <row r="232" spans="1:16" hidden="1" x14ac:dyDescent="0.25">
      <c r="A232" t="s">
        <v>1030</v>
      </c>
      <c r="B232" s="5">
        <v>31.931999999999999</v>
      </c>
      <c r="C232" s="5">
        <v>-102.208</v>
      </c>
      <c r="D232" t="s">
        <v>1415</v>
      </c>
      <c r="E232" s="5">
        <v>1</v>
      </c>
      <c r="F232" s="7">
        <v>1</v>
      </c>
      <c r="G232">
        <v>10.5</v>
      </c>
      <c r="H232" s="5">
        <f t="shared" si="7"/>
        <v>43.273125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f>1/H232</f>
        <v>2.3109031298294263E-2</v>
      </c>
    </row>
    <row r="233" spans="1:16" hidden="1" x14ac:dyDescent="0.25">
      <c r="A233" t="s">
        <v>3</v>
      </c>
      <c r="B233" s="5">
        <v>31.951000000000001</v>
      </c>
      <c r="C233" s="5">
        <v>-85.129000000000005</v>
      </c>
      <c r="D233" s="5" t="s">
        <v>1214</v>
      </c>
      <c r="E233" s="5">
        <v>1</v>
      </c>
      <c r="F233" s="7">
        <v>1</v>
      </c>
      <c r="G233">
        <v>11</v>
      </c>
      <c r="H233" s="5">
        <f t="shared" si="7"/>
        <v>47.4925</v>
      </c>
      <c r="I233">
        <f>7.5*6/2/H233</f>
        <v>0.47375901458124969</v>
      </c>
      <c r="J233">
        <f>2.5*4.5/2/H233</f>
        <v>0.11843975364531242</v>
      </c>
      <c r="K233">
        <f>2.5*2.8/H233</f>
        <v>0.14739169342527766</v>
      </c>
      <c r="L233">
        <v>0</v>
      </c>
      <c r="M233">
        <f>5*1.7/2/H233</f>
        <v>8.9487813865347154E-2</v>
      </c>
      <c r="N233">
        <f>3.5*5.5/H233</f>
        <v>0.4053271569195136</v>
      </c>
      <c r="O233">
        <f>7.5*3.8/H233</f>
        <v>0.60009475180291627</v>
      </c>
      <c r="P233">
        <f>3*8/H233</f>
        <v>0.50534294888666631</v>
      </c>
    </row>
    <row r="234" spans="1:16" hidden="1" x14ac:dyDescent="0.25">
      <c r="A234" t="s">
        <v>331</v>
      </c>
      <c r="B234" s="5">
        <v>32.01</v>
      </c>
      <c r="C234" s="5">
        <v>-81.146000000000001</v>
      </c>
      <c r="D234" s="5" t="s">
        <v>2282</v>
      </c>
      <c r="E234" s="5">
        <v>1</v>
      </c>
      <c r="F234" s="7">
        <v>0</v>
      </c>
      <c r="G234">
        <f>24.7/2</f>
        <v>12.35</v>
      </c>
      <c r="H234" s="5">
        <f t="shared" si="7"/>
        <v>59.865081250000003</v>
      </c>
      <c r="I234">
        <f>4*4/2/H234</f>
        <v>0.1336338284849484</v>
      </c>
      <c r="J234">
        <v>0</v>
      </c>
      <c r="K234">
        <v>0</v>
      </c>
      <c r="L234">
        <f>3.5*2.5/2/H234</f>
        <v>7.3080999952706144E-2</v>
      </c>
      <c r="M234">
        <f>(H234-7.5*8/2)/H234</f>
        <v>0.49887314318144355</v>
      </c>
      <c r="N234">
        <f>4/H234</f>
        <v>6.6816914242474199E-2</v>
      </c>
      <c r="O234">
        <v>0</v>
      </c>
      <c r="P234">
        <f>6.5*3/2/H234</f>
        <v>0.16286622846603085</v>
      </c>
    </row>
    <row r="235" spans="1:16" hidden="1" x14ac:dyDescent="0.25">
      <c r="A235" t="s">
        <v>977</v>
      </c>
      <c r="B235" s="5">
        <v>32.027000000000001</v>
      </c>
      <c r="C235" s="5">
        <v>-96.397999999999996</v>
      </c>
      <c r="D235" s="5" t="s">
        <v>1359</v>
      </c>
      <c r="E235" s="5">
        <v>1</v>
      </c>
      <c r="F235" s="7">
        <v>1</v>
      </c>
      <c r="G235">
        <v>11</v>
      </c>
      <c r="H235" s="5">
        <f t="shared" si="7"/>
        <v>47.4925</v>
      </c>
      <c r="I235">
        <f>2/H235</f>
        <v>4.2111912407222195E-2</v>
      </c>
      <c r="J235">
        <f>4/H235</f>
        <v>8.422382481444439E-2</v>
      </c>
      <c r="K235">
        <f>3.4/H235</f>
        <v>7.1590251092277721E-2</v>
      </c>
      <c r="L235">
        <f>4.5/H235</f>
        <v>9.4751802916249933E-2</v>
      </c>
      <c r="M235">
        <v>0</v>
      </c>
      <c r="N235">
        <v>0</v>
      </c>
      <c r="O235">
        <v>0</v>
      </c>
      <c r="P235">
        <f>0.4/H235</f>
        <v>8.422382481444439E-3</v>
      </c>
    </row>
    <row r="236" spans="1:16" hidden="1" x14ac:dyDescent="0.25">
      <c r="A236" t="s">
        <v>309</v>
      </c>
      <c r="B236" s="5">
        <v>32.119</v>
      </c>
      <c r="C236" s="5">
        <v>-81.201999999999998</v>
      </c>
      <c r="D236" s="5" t="s">
        <v>1254</v>
      </c>
      <c r="E236" s="5">
        <v>1</v>
      </c>
      <c r="F236" s="7">
        <v>1</v>
      </c>
      <c r="G236">
        <v>10</v>
      </c>
      <c r="H236" s="5">
        <f t="shared" si="7"/>
        <v>39.25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idden="1" x14ac:dyDescent="0.25">
      <c r="A237" t="s">
        <v>57</v>
      </c>
      <c r="B237" s="3">
        <v>32.131</v>
      </c>
      <c r="C237" s="3">
        <v>-110.955</v>
      </c>
      <c r="D237" s="5" t="s">
        <v>1438</v>
      </c>
      <c r="E237" s="5">
        <v>1</v>
      </c>
      <c r="F237" s="7">
        <v>1</v>
      </c>
      <c r="G237">
        <f>21.3/2</f>
        <v>10.65</v>
      </c>
      <c r="H237" s="5">
        <f t="shared" si="7"/>
        <v>44.518331250000003</v>
      </c>
      <c r="I237">
        <f>4.5/H237</f>
        <v>0.1010819559863893</v>
      </c>
      <c r="J237">
        <f>5/H237</f>
        <v>0.11231328442932145</v>
      </c>
      <c r="K237">
        <f>2.5*7/2/H237</f>
        <v>0.19654824775131255</v>
      </c>
      <c r="L237">
        <v>0</v>
      </c>
      <c r="M237">
        <v>0</v>
      </c>
      <c r="N237">
        <f>0.6/H237</f>
        <v>1.3477594131518575E-2</v>
      </c>
      <c r="O237">
        <f>0.8/H237</f>
        <v>1.7970125508691433E-2</v>
      </c>
      <c r="P237">
        <f>2/H237</f>
        <v>4.4925313771728578E-2</v>
      </c>
    </row>
    <row r="238" spans="1:16" hidden="1" x14ac:dyDescent="0.25">
      <c r="A238" t="s">
        <v>58</v>
      </c>
      <c r="B238" s="3">
        <v>32.165999999999997</v>
      </c>
      <c r="C238" s="3">
        <v>-110.883</v>
      </c>
      <c r="D238" s="5" t="s">
        <v>1439</v>
      </c>
      <c r="E238" s="5">
        <v>1</v>
      </c>
      <c r="F238" s="7">
        <v>0</v>
      </c>
      <c r="G238">
        <v>12.5</v>
      </c>
      <c r="H238" s="5">
        <f t="shared" si="7"/>
        <v>61.328125</v>
      </c>
      <c r="I238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</row>
    <row r="239" spans="1:16" hidden="1" x14ac:dyDescent="0.25">
      <c r="A239" t="s">
        <v>1021</v>
      </c>
      <c r="B239" s="5">
        <v>32.215000000000003</v>
      </c>
      <c r="C239" s="5">
        <v>-98.177999999999997</v>
      </c>
      <c r="D239" s="5" t="s">
        <v>1406</v>
      </c>
      <c r="E239" s="5">
        <v>1</v>
      </c>
      <c r="F239" s="7">
        <v>0</v>
      </c>
      <c r="G239">
        <f>25.4/2</f>
        <v>12.7</v>
      </c>
      <c r="H239" s="5">
        <f t="shared" si="7"/>
        <v>63.306324999999994</v>
      </c>
      <c r="I239">
        <f>0.5/H239</f>
        <v>7.8981049681844592E-3</v>
      </c>
      <c r="J239">
        <f>1/H239</f>
        <v>1.5796209936368918E-2</v>
      </c>
      <c r="K239">
        <v>0</v>
      </c>
      <c r="L239">
        <v>0</v>
      </c>
      <c r="M239">
        <f>1/H239</f>
        <v>1.5796209936368918E-2</v>
      </c>
      <c r="N239">
        <f>3/H239</f>
        <v>4.7388629809106755E-2</v>
      </c>
      <c r="O239">
        <f>4/H239</f>
        <v>6.3184839745475674E-2</v>
      </c>
      <c r="P239">
        <f>1.5/H239</f>
        <v>2.3694314904553378E-2</v>
      </c>
    </row>
    <row r="240" spans="1:16" hidden="1" x14ac:dyDescent="0.25">
      <c r="A240" t="s">
        <v>1031</v>
      </c>
      <c r="B240" s="5">
        <v>32.216999999999999</v>
      </c>
      <c r="C240" s="5">
        <v>-101.517</v>
      </c>
      <c r="D240" s="5" t="s">
        <v>1416</v>
      </c>
      <c r="E240">
        <v>1</v>
      </c>
      <c r="F240" s="7">
        <v>0</v>
      </c>
      <c r="G240">
        <v>12.5</v>
      </c>
      <c r="H240" s="5">
        <f t="shared" si="7"/>
        <v>61.328125</v>
      </c>
      <c r="I240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</row>
    <row r="241" spans="1:16" hidden="1" x14ac:dyDescent="0.25">
      <c r="A241" t="s">
        <v>721</v>
      </c>
      <c r="B241" s="5">
        <v>32.262</v>
      </c>
      <c r="C241" s="5">
        <v>-107.721</v>
      </c>
      <c r="D241" s="5" t="s">
        <v>1434</v>
      </c>
      <c r="E241">
        <v>1</v>
      </c>
      <c r="F241" s="7">
        <v>1</v>
      </c>
      <c r="G241">
        <v>13</v>
      </c>
      <c r="H241" s="5">
        <f t="shared" ref="H241:H304" si="8">3.14*G241*G241/8</f>
        <v>66.332499999999996</v>
      </c>
      <c r="I241">
        <f>1/H241</f>
        <v>1.5075566275958241E-2</v>
      </c>
      <c r="J241">
        <f>0.5/H241</f>
        <v>7.5377831379791205E-3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idden="1" x14ac:dyDescent="0.25">
      <c r="A242" t="s">
        <v>9</v>
      </c>
      <c r="B242" s="5">
        <v>32.301000000000002</v>
      </c>
      <c r="C242" s="5">
        <v>-86.394000000000005</v>
      </c>
      <c r="D242" s="5" t="s">
        <v>1313</v>
      </c>
      <c r="E242">
        <v>1</v>
      </c>
      <c r="F242" s="7">
        <v>0</v>
      </c>
      <c r="G242">
        <f>19.5/2</f>
        <v>9.75</v>
      </c>
      <c r="H242" s="5">
        <f t="shared" si="8"/>
        <v>37.312031250000004</v>
      </c>
      <c r="I242">
        <f>8*2.5/2/H242</f>
        <v>0.26801006712814646</v>
      </c>
      <c r="J242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>
        <f>5*1.8/2/H242</f>
        <v>0.12060453020766591</v>
      </c>
    </row>
    <row r="243" spans="1:16" hidden="1" x14ac:dyDescent="0.25">
      <c r="A243" t="s">
        <v>591</v>
      </c>
      <c r="B243" s="5">
        <v>32.32</v>
      </c>
      <c r="C243" s="5">
        <v>-90.078000000000003</v>
      </c>
      <c r="D243" s="5" t="s">
        <v>1335</v>
      </c>
      <c r="E243">
        <v>1</v>
      </c>
      <c r="F243" s="7">
        <v>1</v>
      </c>
      <c r="G243">
        <f>23/2</f>
        <v>11.5</v>
      </c>
      <c r="H243" s="5">
        <f t="shared" si="8"/>
        <v>51.908124999999998</v>
      </c>
      <c r="I243">
        <v>0</v>
      </c>
      <c r="J243">
        <v>0</v>
      </c>
      <c r="K243">
        <v>0</v>
      </c>
      <c r="L243">
        <v>0</v>
      </c>
      <c r="M243">
        <f>6.5*4/2/H243</f>
        <v>0.2504424885314197</v>
      </c>
      <c r="N243">
        <f>6*7/2/H243</f>
        <v>0.40456094301229339</v>
      </c>
      <c r="O243">
        <f>5*2.5/2/H243</f>
        <v>0.12040504256318255</v>
      </c>
      <c r="P243">
        <f>5*2.7/2/H243</f>
        <v>0.13003744596823716</v>
      </c>
    </row>
    <row r="244" spans="1:16" hidden="1" x14ac:dyDescent="0.25">
      <c r="A244" t="s">
        <v>588</v>
      </c>
      <c r="B244" s="5">
        <v>32.332999999999998</v>
      </c>
      <c r="C244" s="5">
        <v>-88.751000000000005</v>
      </c>
      <c r="D244" s="5" t="s">
        <v>1332</v>
      </c>
      <c r="E244">
        <v>1</v>
      </c>
      <c r="F244" s="7">
        <v>1</v>
      </c>
      <c r="G244">
        <v>11</v>
      </c>
      <c r="H244" s="5">
        <f t="shared" si="8"/>
        <v>47.4925</v>
      </c>
      <c r="I244">
        <v>0</v>
      </c>
      <c r="J244">
        <v>0</v>
      </c>
      <c r="K244">
        <v>0</v>
      </c>
      <c r="L244">
        <f>3/H244</f>
        <v>6.3167868610833289E-2</v>
      </c>
      <c r="M244">
        <v>0</v>
      </c>
      <c r="N244">
        <v>0</v>
      </c>
      <c r="O244">
        <v>0</v>
      </c>
      <c r="P244">
        <v>0</v>
      </c>
    </row>
    <row r="245" spans="1:16" hidden="1" x14ac:dyDescent="0.25">
      <c r="A245" t="s">
        <v>592</v>
      </c>
      <c r="B245" s="5">
        <v>32.335000000000001</v>
      </c>
      <c r="C245" s="5">
        <v>-90.222999999999999</v>
      </c>
      <c r="D245" s="5" t="s">
        <v>1336</v>
      </c>
      <c r="E245">
        <v>1</v>
      </c>
      <c r="F245" s="7">
        <v>1</v>
      </c>
      <c r="G245">
        <f>19.5/2</f>
        <v>9.75</v>
      </c>
      <c r="H245" s="5">
        <f t="shared" si="8"/>
        <v>37.312031250000004</v>
      </c>
      <c r="I245">
        <f>(H245-5.5*6.5/2)/H245</f>
        <v>0.52093200500843817</v>
      </c>
      <c r="J245">
        <f>(H245-5.5*6.5/2)/H245</f>
        <v>0.52093200500843817</v>
      </c>
      <c r="K245">
        <f>3.5/H245</f>
        <v>9.3803523494851271E-2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idden="1" x14ac:dyDescent="0.25">
      <c r="A246" t="s">
        <v>716</v>
      </c>
      <c r="B246" s="5">
        <v>32.338000000000001</v>
      </c>
      <c r="C246" s="5">
        <v>-104.26300000000001</v>
      </c>
      <c r="D246" s="5" t="s">
        <v>1428</v>
      </c>
      <c r="E246">
        <v>1</v>
      </c>
      <c r="F246" s="7">
        <v>0</v>
      </c>
      <c r="G246">
        <f>19.5/2</f>
        <v>9.75</v>
      </c>
      <c r="H246" s="5">
        <f t="shared" si="8"/>
        <v>37.312031250000004</v>
      </c>
      <c r="I246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</row>
    <row r="247" spans="1:16" hidden="1" x14ac:dyDescent="0.25">
      <c r="A247" t="s">
        <v>326</v>
      </c>
      <c r="B247" s="5">
        <v>32.338000000000001</v>
      </c>
      <c r="C247" s="5">
        <v>-84.992000000000004</v>
      </c>
      <c r="D247" s="5" t="s">
        <v>1311</v>
      </c>
      <c r="E247">
        <v>1</v>
      </c>
      <c r="F247" s="7">
        <v>0</v>
      </c>
      <c r="G247">
        <f>18/2</f>
        <v>9</v>
      </c>
      <c r="H247" s="5">
        <f t="shared" si="8"/>
        <v>31.7925</v>
      </c>
      <c r="I247">
        <f>1/H247</f>
        <v>3.1453959267122751E-2</v>
      </c>
      <c r="J247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</row>
    <row r="248" spans="1:16" hidden="1" x14ac:dyDescent="0.25">
      <c r="A248" t="s">
        <v>451</v>
      </c>
      <c r="B248" s="5">
        <v>32.347999999999999</v>
      </c>
      <c r="C248" s="5">
        <v>-91.03</v>
      </c>
      <c r="D248" s="5" t="s">
        <v>1366</v>
      </c>
      <c r="E248" s="5">
        <v>1</v>
      </c>
      <c r="F248" s="7">
        <v>1</v>
      </c>
      <c r="G248">
        <v>11</v>
      </c>
      <c r="H248" s="5">
        <f t="shared" si="8"/>
        <v>47.4925</v>
      </c>
      <c r="I248">
        <f>1.5/H248</f>
        <v>3.1583934305416644E-2</v>
      </c>
      <c r="J248">
        <v>0</v>
      </c>
      <c r="K248">
        <v>0</v>
      </c>
      <c r="L248">
        <v>0</v>
      </c>
      <c r="M248">
        <f>4*7.5/4/H248</f>
        <v>0.15791967152708322</v>
      </c>
      <c r="N248">
        <f>8*5/2/H248</f>
        <v>0.42111912407222191</v>
      </c>
      <c r="O248">
        <f>1/H248</f>
        <v>2.1055956203611097E-2</v>
      </c>
      <c r="P248">
        <f>1/H248</f>
        <v>2.1055956203611097E-2</v>
      </c>
    </row>
    <row r="249" spans="1:16" hidden="1" x14ac:dyDescent="0.25">
      <c r="A249" t="s">
        <v>11</v>
      </c>
      <c r="B249" s="5">
        <v>32.35</v>
      </c>
      <c r="C249" s="5">
        <v>-86.983000000000004</v>
      </c>
      <c r="D249" s="5" t="s">
        <v>1315</v>
      </c>
      <c r="E249">
        <v>1</v>
      </c>
      <c r="F249" s="7">
        <v>1</v>
      </c>
      <c r="G249">
        <f>18.3/2</f>
        <v>9.15</v>
      </c>
      <c r="H249" s="5">
        <f t="shared" si="8"/>
        <v>32.861081250000005</v>
      </c>
      <c r="I249">
        <f>(H249-1.5*1.5/2)/H249</f>
        <v>0.96576497311694509</v>
      </c>
      <c r="J249">
        <f>(H249-5.5*1.7/2)/H249</f>
        <v>0.85773444384152753</v>
      </c>
      <c r="K249">
        <f>6*4/2/H249</f>
        <v>0.36517362008591847</v>
      </c>
      <c r="L249">
        <f>2*1.7/H249</f>
        <v>0.10346585902434356</v>
      </c>
      <c r="M249">
        <v>0</v>
      </c>
      <c r="N249">
        <f>3*3.5/2/H249</f>
        <v>0.15976345878758932</v>
      </c>
      <c r="O249">
        <f>(H249-3)/H249</f>
        <v>0.90870659497852035</v>
      </c>
      <c r="P249">
        <f>(H249-1.5)/H249</f>
        <v>0.95435329748926023</v>
      </c>
    </row>
    <row r="250" spans="1:16" hidden="1" x14ac:dyDescent="0.25">
      <c r="A250" t="s">
        <v>976</v>
      </c>
      <c r="B250" s="5">
        <v>32.353999999999999</v>
      </c>
      <c r="C250" s="5">
        <v>-95.402000000000001</v>
      </c>
      <c r="D250" s="5" t="s">
        <v>1358</v>
      </c>
      <c r="E250">
        <v>1</v>
      </c>
      <c r="F250" s="7">
        <v>1</v>
      </c>
      <c r="G250">
        <v>11.5</v>
      </c>
      <c r="H250" s="5">
        <f t="shared" si="8"/>
        <v>51.908124999999998</v>
      </c>
      <c r="I250">
        <f>3.5*3/2/H250</f>
        <v>0.10114023575307335</v>
      </c>
      <c r="J250">
        <f>3/H250</f>
        <v>5.7794420430327627E-2</v>
      </c>
      <c r="K250">
        <f>4/H250</f>
        <v>7.7059227240436831E-2</v>
      </c>
      <c r="L250">
        <v>0</v>
      </c>
      <c r="M250">
        <v>0</v>
      </c>
      <c r="N250">
        <f>3*4/2/H250</f>
        <v>0.11558884086065525</v>
      </c>
      <c r="O250">
        <f>3*6.5/2/H250</f>
        <v>0.18783186639856478</v>
      </c>
      <c r="P250">
        <v>0</v>
      </c>
    </row>
    <row r="251" spans="1:16" hidden="1" x14ac:dyDescent="0.25">
      <c r="A251" t="s">
        <v>10</v>
      </c>
      <c r="B251" s="5">
        <v>32.378999999999998</v>
      </c>
      <c r="C251" s="5">
        <v>-86.363</v>
      </c>
      <c r="D251" s="5" t="s">
        <v>1314</v>
      </c>
      <c r="E251">
        <v>1</v>
      </c>
      <c r="F251" s="7">
        <v>0</v>
      </c>
      <c r="G251">
        <v>10.5</v>
      </c>
      <c r="H251" s="5">
        <f t="shared" si="8"/>
        <v>43.273125</v>
      </c>
      <c r="I251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</row>
    <row r="252" spans="1:16" hidden="1" x14ac:dyDescent="0.25">
      <c r="A252" t="s">
        <v>978</v>
      </c>
      <c r="B252" s="1">
        <v>32.384999999999998</v>
      </c>
      <c r="C252" s="1">
        <v>-94.710999999999999</v>
      </c>
      <c r="D252" s="1" t="s">
        <v>1357</v>
      </c>
      <c r="E252" s="5">
        <v>1</v>
      </c>
      <c r="F252" s="7">
        <v>1</v>
      </c>
      <c r="G252">
        <v>11</v>
      </c>
      <c r="H252" s="5">
        <f t="shared" si="8"/>
        <v>47.4925</v>
      </c>
      <c r="I252">
        <f>2.5*4.2/2/H252</f>
        <v>0.11054377006895826</v>
      </c>
      <c r="J252">
        <f>5.5*3.5/2/H252</f>
        <v>0.2026635784597568</v>
      </c>
      <c r="K252">
        <v>0</v>
      </c>
      <c r="L252">
        <v>0</v>
      </c>
      <c r="M252">
        <v>0</v>
      </c>
      <c r="N252">
        <f>3.5/H252</f>
        <v>7.3695846712638832E-2</v>
      </c>
      <c r="O252">
        <f>1.5/H252</f>
        <v>3.1583934305416644E-2</v>
      </c>
      <c r="P252">
        <v>0</v>
      </c>
    </row>
    <row r="253" spans="1:16" hidden="1" x14ac:dyDescent="0.25">
      <c r="A253" t="s">
        <v>975</v>
      </c>
      <c r="B253" s="1">
        <v>32.384999999999998</v>
      </c>
      <c r="C253" s="1">
        <v>-94.710999999999999</v>
      </c>
      <c r="D253" s="1" t="s">
        <v>1357</v>
      </c>
      <c r="E253" s="5">
        <v>1</v>
      </c>
      <c r="F253" s="7">
        <v>1</v>
      </c>
      <c r="G253">
        <v>11</v>
      </c>
      <c r="H253" s="5">
        <f t="shared" si="8"/>
        <v>47.4925</v>
      </c>
      <c r="I253">
        <f>2.5*4.2/2/H253</f>
        <v>0.11054377006895826</v>
      </c>
      <c r="J253">
        <f>5.5*3.5/2/H253</f>
        <v>0.2026635784597568</v>
      </c>
      <c r="K253">
        <v>0</v>
      </c>
      <c r="L253">
        <v>0</v>
      </c>
      <c r="M253">
        <v>0</v>
      </c>
      <c r="N253">
        <f>3.5/H253</f>
        <v>7.3695846712638832E-2</v>
      </c>
      <c r="O253">
        <f>1.5/H253</f>
        <v>3.1583934305416644E-2</v>
      </c>
      <c r="P253">
        <v>0</v>
      </c>
    </row>
    <row r="254" spans="1:16" hidden="1" x14ac:dyDescent="0.25">
      <c r="A254" t="s">
        <v>1033</v>
      </c>
      <c r="B254" s="5">
        <v>32.411000000000001</v>
      </c>
      <c r="C254" s="5">
        <v>-99.682000000000002</v>
      </c>
      <c r="D254" s="5" t="s">
        <v>1418</v>
      </c>
      <c r="E254" s="5">
        <v>1</v>
      </c>
      <c r="F254" s="7">
        <v>1</v>
      </c>
      <c r="G254">
        <v>10.5</v>
      </c>
      <c r="H254" s="5">
        <f t="shared" si="8"/>
        <v>43.273125</v>
      </c>
      <c r="I254">
        <f>7*3.5/2/H254</f>
        <v>0.28308563340410475</v>
      </c>
      <c r="J254">
        <f>(H254-3.5*4.2/2)/H254</f>
        <v>0.83014861995753708</v>
      </c>
      <c r="K254">
        <v>0</v>
      </c>
      <c r="L254">
        <v>0</v>
      </c>
      <c r="M254">
        <f>1.5*0.8/H254</f>
        <v>2.7730837557953122E-2</v>
      </c>
      <c r="N254">
        <v>0</v>
      </c>
      <c r="O254">
        <v>0</v>
      </c>
      <c r="P254">
        <v>0</v>
      </c>
    </row>
    <row r="255" spans="1:16" hidden="1" x14ac:dyDescent="0.25">
      <c r="A255" t="s">
        <v>961</v>
      </c>
      <c r="B255" s="1">
        <v>32.420999999999999</v>
      </c>
      <c r="C255" s="1">
        <v>-99.855000000000004</v>
      </c>
      <c r="D255" s="1" t="s">
        <v>1194</v>
      </c>
      <c r="E255" s="5">
        <v>1</v>
      </c>
      <c r="F255" s="7">
        <v>0</v>
      </c>
      <c r="G255">
        <v>10.5</v>
      </c>
      <c r="H255" s="5">
        <f t="shared" si="8"/>
        <v>43.273125</v>
      </c>
      <c r="I25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</row>
    <row r="256" spans="1:16" hidden="1" x14ac:dyDescent="0.25">
      <c r="A256" t="s">
        <v>1034</v>
      </c>
      <c r="B256" s="1">
        <v>32.420999999999999</v>
      </c>
      <c r="C256" s="1">
        <v>-99.855000000000004</v>
      </c>
      <c r="D256" s="1" t="s">
        <v>1194</v>
      </c>
      <c r="E256" s="5">
        <v>1</v>
      </c>
      <c r="F256" s="7">
        <v>0</v>
      </c>
      <c r="G256" s="5">
        <v>10.5</v>
      </c>
      <c r="H256" s="5">
        <f t="shared" si="8"/>
        <v>43.273125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</row>
    <row r="257" spans="1:16" hidden="1" x14ac:dyDescent="0.25">
      <c r="A257" t="s">
        <v>446</v>
      </c>
      <c r="B257">
        <v>32.447000000000003</v>
      </c>
      <c r="C257">
        <v>-93.823999999999998</v>
      </c>
      <c r="D257" t="s">
        <v>1361</v>
      </c>
      <c r="E257" s="5">
        <v>1</v>
      </c>
      <c r="F257" s="7">
        <v>1</v>
      </c>
      <c r="G257">
        <f>23.5/2</f>
        <v>11.75</v>
      </c>
      <c r="H257" s="5">
        <f t="shared" si="8"/>
        <v>54.189531250000002</v>
      </c>
      <c r="I257">
        <v>0</v>
      </c>
      <c r="J257">
        <v>0</v>
      </c>
      <c r="K257">
        <v>0</v>
      </c>
      <c r="L257">
        <f>0.5/H257</f>
        <v>9.2268744251224714E-3</v>
      </c>
      <c r="M257">
        <v>0</v>
      </c>
      <c r="N257">
        <v>0</v>
      </c>
      <c r="O257">
        <v>0</v>
      </c>
      <c r="P257">
        <v>0</v>
      </c>
    </row>
    <row r="258" spans="1:16" hidden="1" x14ac:dyDescent="0.25">
      <c r="A258" t="s">
        <v>910</v>
      </c>
      <c r="B258" s="5">
        <v>32.482999999999997</v>
      </c>
      <c r="C258" s="5">
        <v>-80.716999999999999</v>
      </c>
      <c r="D258" s="5" t="s">
        <v>1259</v>
      </c>
      <c r="E258" s="5">
        <v>1</v>
      </c>
      <c r="F258" s="7">
        <v>1</v>
      </c>
      <c r="G258">
        <v>12</v>
      </c>
      <c r="H258" s="5">
        <f t="shared" si="8"/>
        <v>56.519999999999996</v>
      </c>
      <c r="I258">
        <v>0</v>
      </c>
      <c r="J258">
        <f>9*5.5/2/H258</f>
        <v>0.43789808917197454</v>
      </c>
      <c r="K258">
        <f>6*4/H258</f>
        <v>0.42462845010615713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hidden="1" x14ac:dyDescent="0.25">
      <c r="A259" t="s">
        <v>448</v>
      </c>
      <c r="B259" s="5">
        <v>32.502000000000002</v>
      </c>
      <c r="C259" s="5">
        <v>-93.662999999999997</v>
      </c>
      <c r="D259" s="5" t="s">
        <v>1363</v>
      </c>
      <c r="E259" s="5">
        <v>1</v>
      </c>
      <c r="F259" s="7">
        <v>0</v>
      </c>
      <c r="G259">
        <f>22.3/2</f>
        <v>11.15</v>
      </c>
      <c r="H259" s="5">
        <f t="shared" si="8"/>
        <v>48.796581250000003</v>
      </c>
      <c r="I259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</row>
    <row r="260" spans="1:16" hidden="1" x14ac:dyDescent="0.25">
      <c r="A260" t="s">
        <v>449</v>
      </c>
      <c r="B260" s="5">
        <v>32.511000000000003</v>
      </c>
      <c r="C260" s="5">
        <v>-92.037999999999997</v>
      </c>
      <c r="D260" s="5" t="s">
        <v>1364</v>
      </c>
      <c r="E260" s="5">
        <v>1</v>
      </c>
      <c r="F260" s="7">
        <v>1</v>
      </c>
      <c r="G260">
        <f>22.7/2</f>
        <v>11.35</v>
      </c>
      <c r="H260" s="5">
        <f t="shared" si="8"/>
        <v>50.562831250000002</v>
      </c>
      <c r="I260">
        <v>0</v>
      </c>
      <c r="J260">
        <f>2.5*1.8/2/H260</f>
        <v>4.4499090426230827E-2</v>
      </c>
      <c r="K260">
        <f>5.5*5/2/H260</f>
        <v>0.2719388859380773</v>
      </c>
      <c r="L260">
        <f>5.7*5.5/2/H260</f>
        <v>0.31001032996940814</v>
      </c>
      <c r="M260">
        <f>7.5*3/2/H260</f>
        <v>0.22249545213115413</v>
      </c>
      <c r="N260">
        <f>1/H260</f>
        <v>1.9777373522769256E-2</v>
      </c>
      <c r="O260">
        <v>0</v>
      </c>
      <c r="P260">
        <v>0</v>
      </c>
    </row>
    <row r="261" spans="1:16" hidden="1" x14ac:dyDescent="0.25">
      <c r="A261" t="s">
        <v>327</v>
      </c>
      <c r="B261" s="5">
        <v>32.515999999999998</v>
      </c>
      <c r="C261" s="5">
        <v>-84.941999999999993</v>
      </c>
      <c r="D261" s="5" t="s">
        <v>1312</v>
      </c>
      <c r="E261">
        <v>1</v>
      </c>
      <c r="F261" s="7">
        <v>1</v>
      </c>
      <c r="G261">
        <f>19.5/2</f>
        <v>9.75</v>
      </c>
      <c r="H261" s="5">
        <f t="shared" si="8"/>
        <v>37.312031250000004</v>
      </c>
      <c r="I261">
        <f>3*2.8/2/H261</f>
        <v>0.1125642281938215</v>
      </c>
      <c r="J261">
        <f>3*1.8</f>
        <v>5.4</v>
      </c>
      <c r="K261">
        <v>0</v>
      </c>
      <c r="L261">
        <v>0</v>
      </c>
      <c r="M261">
        <v>0</v>
      </c>
      <c r="N261">
        <v>0</v>
      </c>
      <c r="O261">
        <f>4*2.5/2/H261</f>
        <v>0.13400503356407323</v>
      </c>
      <c r="P261">
        <f>5*2.5/2/H261</f>
        <v>0.16750629195509154</v>
      </c>
    </row>
    <row r="262" spans="1:16" hidden="1" x14ac:dyDescent="0.25">
      <c r="A262" t="s">
        <v>447</v>
      </c>
      <c r="B262" s="5">
        <v>32.54</v>
      </c>
      <c r="C262" s="5">
        <v>-93.744</v>
      </c>
      <c r="D262" s="5" t="s">
        <v>1362</v>
      </c>
      <c r="E262">
        <v>1</v>
      </c>
      <c r="F262" s="7">
        <v>1</v>
      </c>
      <c r="G262">
        <v>10.5</v>
      </c>
      <c r="H262" s="5">
        <f t="shared" si="8"/>
        <v>43.273125</v>
      </c>
      <c r="I262">
        <f>4.7*10/2/H262</f>
        <v>0.54306223550991517</v>
      </c>
      <c r="J262">
        <f>5*7/2/H262</f>
        <v>0.40440804772014965</v>
      </c>
      <c r="K262">
        <f>2.8*3.5/H262</f>
        <v>0.22646850672328378</v>
      </c>
      <c r="L262">
        <v>0</v>
      </c>
      <c r="M262">
        <v>0</v>
      </c>
      <c r="N262">
        <f>1/H262</f>
        <v>2.3109031298294263E-2</v>
      </c>
      <c r="O262">
        <f>3.5/H262</f>
        <v>8.0881609544029925E-2</v>
      </c>
      <c r="P262">
        <f>5.5*2.8/2/H262</f>
        <v>0.17793954099686582</v>
      </c>
    </row>
    <row r="263" spans="1:16" hidden="1" x14ac:dyDescent="0.25">
      <c r="A263" t="s">
        <v>589</v>
      </c>
      <c r="B263" s="5">
        <v>32.549999999999997</v>
      </c>
      <c r="C263" s="5">
        <v>-88.566999999999993</v>
      </c>
      <c r="D263" s="5" t="s">
        <v>1333</v>
      </c>
      <c r="E263" s="5">
        <v>1</v>
      </c>
      <c r="F263" s="7">
        <v>1</v>
      </c>
      <c r="G263">
        <v>10.4</v>
      </c>
      <c r="H263" s="5">
        <f t="shared" si="8"/>
        <v>42.452800000000011</v>
      </c>
      <c r="I263">
        <f>8*4.5/2/H263</f>
        <v>0.42400030151132539</v>
      </c>
      <c r="J263">
        <f>4.5*7/2/H263</f>
        <v>0.37100026382240975</v>
      </c>
      <c r="K263">
        <v>0</v>
      </c>
      <c r="L263">
        <f>6.7*7.5/2/H263</f>
        <v>0.59183375419289175</v>
      </c>
      <c r="M263">
        <f>(H263-2)/H263</f>
        <v>0.95288885538763046</v>
      </c>
      <c r="N263">
        <f>(H263-4*1.5/2)/H263</f>
        <v>0.9293332830814458</v>
      </c>
      <c r="O263">
        <f>7.5*4/2/H263</f>
        <v>0.3533335845927712</v>
      </c>
      <c r="P263">
        <f>5.5*3/2/H263</f>
        <v>0.19433347152602415</v>
      </c>
    </row>
    <row r="264" spans="1:16" hidden="1" x14ac:dyDescent="0.25">
      <c r="A264" t="s">
        <v>105</v>
      </c>
      <c r="B264" s="5">
        <v>32.567</v>
      </c>
      <c r="C264" s="5">
        <v>-117.117</v>
      </c>
      <c r="D264" s="5" t="s">
        <v>1471</v>
      </c>
      <c r="E264" s="5">
        <v>1</v>
      </c>
      <c r="F264" s="7">
        <v>0</v>
      </c>
      <c r="G264">
        <f>22.2/2</f>
        <v>11.1</v>
      </c>
      <c r="H264" s="5">
        <f t="shared" si="8"/>
        <v>48.359924999999997</v>
      </c>
      <c r="I264">
        <f>9*3.5/2/H264</f>
        <v>0.3256828872253214</v>
      </c>
      <c r="J264">
        <f>4.5/H264</f>
        <v>9.3052253492948975E-2</v>
      </c>
      <c r="K264">
        <v>0</v>
      </c>
      <c r="L264">
        <v>0</v>
      </c>
      <c r="M264">
        <f>1/H264</f>
        <v>2.0678278553988662E-2</v>
      </c>
      <c r="N264">
        <v>0</v>
      </c>
      <c r="O264">
        <v>0</v>
      </c>
      <c r="P264">
        <f>3*1.5/2/H264</f>
        <v>4.6526126746474487E-2</v>
      </c>
    </row>
    <row r="265" spans="1:16" hidden="1" x14ac:dyDescent="0.25">
      <c r="A265" t="s">
        <v>102</v>
      </c>
      <c r="B265" s="5">
        <v>32.572000000000003</v>
      </c>
      <c r="C265" s="5">
        <v>-116.979</v>
      </c>
      <c r="D265" s="5" t="s">
        <v>1469</v>
      </c>
      <c r="E265" s="5">
        <v>1</v>
      </c>
      <c r="F265" s="7">
        <v>0</v>
      </c>
      <c r="G265">
        <f>18.7/2</f>
        <v>9.35</v>
      </c>
      <c r="H265" s="5">
        <f t="shared" si="8"/>
        <v>34.313331249999997</v>
      </c>
      <c r="I265">
        <f>2/H265</f>
        <v>5.8286383954632801E-2</v>
      </c>
      <c r="J265">
        <f>2/H265</f>
        <v>5.8286383954632801E-2</v>
      </c>
      <c r="K265">
        <v>0</v>
      </c>
      <c r="L265">
        <v>0</v>
      </c>
      <c r="M265">
        <f>0.7/H265</f>
        <v>2.0400234384121477E-2</v>
      </c>
      <c r="N265">
        <v>0</v>
      </c>
      <c r="O265" s="5">
        <v>0</v>
      </c>
      <c r="P265" s="5">
        <v>0</v>
      </c>
    </row>
    <row r="266" spans="1:16" hidden="1" x14ac:dyDescent="0.25">
      <c r="A266" t="s">
        <v>52</v>
      </c>
      <c r="B266" s="5">
        <v>32.636000000000003</v>
      </c>
      <c r="C266" s="5">
        <v>-108.151</v>
      </c>
      <c r="D266" s="5" t="s">
        <v>1433</v>
      </c>
      <c r="E266" s="5">
        <v>1</v>
      </c>
      <c r="F266" s="7">
        <v>0</v>
      </c>
      <c r="G266">
        <f>9.8</f>
        <v>9.8000000000000007</v>
      </c>
      <c r="H266" s="5">
        <f t="shared" si="8"/>
        <v>37.695700000000002</v>
      </c>
      <c r="I266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</row>
    <row r="267" spans="1:16" hidden="1" x14ac:dyDescent="0.25">
      <c r="A267" t="s">
        <v>318</v>
      </c>
      <c r="B267" s="5">
        <v>32.64</v>
      </c>
      <c r="C267" s="5">
        <v>-83.591999999999999</v>
      </c>
      <c r="D267" s="5" t="s">
        <v>1287</v>
      </c>
      <c r="E267" s="5">
        <v>1</v>
      </c>
      <c r="F267" s="7">
        <v>0</v>
      </c>
      <c r="G267">
        <v>12.5</v>
      </c>
      <c r="H267" s="5">
        <f t="shared" si="8"/>
        <v>61.328125</v>
      </c>
      <c r="I267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</row>
    <row r="268" spans="1:16" hidden="1" x14ac:dyDescent="0.25">
      <c r="A268" t="s">
        <v>50</v>
      </c>
      <c r="B268" s="1">
        <v>32.65</v>
      </c>
      <c r="C268" s="1">
        <v>-114.617</v>
      </c>
      <c r="D268" s="1" t="s">
        <v>1206</v>
      </c>
      <c r="E268" s="5">
        <v>1</v>
      </c>
      <c r="F268" s="7">
        <v>0</v>
      </c>
      <c r="G268">
        <f>22.4/2</f>
        <v>11.2</v>
      </c>
      <c r="H268" s="5">
        <f t="shared" si="8"/>
        <v>49.235199999999999</v>
      </c>
      <c r="I268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>
        <f>0.6/H268</f>
        <v>1.2186403223709867E-2</v>
      </c>
      <c r="P268">
        <v>0</v>
      </c>
    </row>
    <row r="269" spans="1:16" hidden="1" x14ac:dyDescent="0.25">
      <c r="A269" t="s">
        <v>67</v>
      </c>
      <c r="B269" s="1">
        <v>32.65</v>
      </c>
      <c r="C269" s="1">
        <v>-114.617</v>
      </c>
      <c r="D269" s="1" t="s">
        <v>1206</v>
      </c>
      <c r="E269">
        <v>1</v>
      </c>
      <c r="F269" s="7">
        <v>0</v>
      </c>
      <c r="G269" s="5">
        <f>22.4/2</f>
        <v>11.2</v>
      </c>
      <c r="H269" s="5">
        <f t="shared" si="8"/>
        <v>49.235199999999999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f>0.6/H269</f>
        <v>1.2186403223709867E-2</v>
      </c>
      <c r="P269" s="5">
        <v>0</v>
      </c>
    </row>
    <row r="270" spans="1:16" hidden="1" x14ac:dyDescent="0.25">
      <c r="A270" t="s">
        <v>66</v>
      </c>
      <c r="B270" s="5">
        <v>32.656999999999996</v>
      </c>
      <c r="C270" s="5">
        <v>-114.60599999999999</v>
      </c>
      <c r="D270" s="5" t="s">
        <v>1447</v>
      </c>
      <c r="E270" s="5">
        <v>1</v>
      </c>
      <c r="F270" s="7">
        <v>0</v>
      </c>
      <c r="G270">
        <f>22.9/2</f>
        <v>11.45</v>
      </c>
      <c r="H270" s="5">
        <f t="shared" si="8"/>
        <v>51.457731249999988</v>
      </c>
      <c r="I270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</row>
    <row r="271" spans="1:16" hidden="1" x14ac:dyDescent="0.25">
      <c r="A271" t="s">
        <v>979</v>
      </c>
      <c r="B271" s="5">
        <v>32.664000000000001</v>
      </c>
      <c r="C271" s="5">
        <v>-97.093999999999994</v>
      </c>
      <c r="D271" s="5" t="s">
        <v>1360</v>
      </c>
      <c r="E271" s="5">
        <v>1</v>
      </c>
      <c r="F271" s="7">
        <v>1</v>
      </c>
      <c r="G271">
        <v>11</v>
      </c>
      <c r="H271" s="5">
        <f t="shared" si="8"/>
        <v>47.4925</v>
      </c>
      <c r="I271">
        <v>0</v>
      </c>
      <c r="J271">
        <f>2*2.5/H271</f>
        <v>0.10527978101805548</v>
      </c>
      <c r="K271">
        <f>1.5*3/H271</f>
        <v>9.4751802916249933E-2</v>
      </c>
      <c r="L271">
        <f>2*1.3/2/H271</f>
        <v>2.7372743064694425E-2</v>
      </c>
      <c r="M271">
        <v>0</v>
      </c>
      <c r="N271">
        <f>5.5*1.5/2/H271</f>
        <v>8.6855819339895779E-2</v>
      </c>
      <c r="O271">
        <f>4*7/2/H271</f>
        <v>0.29478338685055533</v>
      </c>
      <c r="P271">
        <f>3/H271</f>
        <v>6.3167868610833289E-2</v>
      </c>
    </row>
    <row r="272" spans="1:16" hidden="1" x14ac:dyDescent="0.25">
      <c r="A272" t="s">
        <v>1020</v>
      </c>
      <c r="B272" s="5">
        <v>32.680999999999997</v>
      </c>
      <c r="C272" s="5">
        <v>-96.867999999999995</v>
      </c>
      <c r="D272" s="5" t="s">
        <v>1405</v>
      </c>
      <c r="E272" s="5">
        <v>1</v>
      </c>
      <c r="F272" s="7">
        <v>0</v>
      </c>
      <c r="G272">
        <f>21.3/2</f>
        <v>10.65</v>
      </c>
      <c r="H272" s="5">
        <f t="shared" si="8"/>
        <v>44.518331250000003</v>
      </c>
      <c r="I272">
        <f>4.5*6.5/2/H272</f>
        <v>0.32851635695576525</v>
      </c>
      <c r="J272">
        <f>4/H272</f>
        <v>8.9850627543457157E-2</v>
      </c>
      <c r="K272">
        <f>0.5/H272</f>
        <v>1.1231328442932145E-2</v>
      </c>
      <c r="L272">
        <v>0</v>
      </c>
      <c r="M272">
        <f>2/H272</f>
        <v>4.4925313771728578E-2</v>
      </c>
      <c r="N272">
        <f>1/H272</f>
        <v>2.2462656885864289E-2</v>
      </c>
      <c r="O272">
        <v>0</v>
      </c>
      <c r="P272">
        <v>0</v>
      </c>
    </row>
    <row r="273" spans="1:16" hidden="1" x14ac:dyDescent="0.25">
      <c r="A273" t="s">
        <v>717</v>
      </c>
      <c r="B273" s="5">
        <v>32.688000000000002</v>
      </c>
      <c r="C273" s="5">
        <v>-103.217</v>
      </c>
      <c r="D273" s="5" t="s">
        <v>1429</v>
      </c>
      <c r="E273" s="5">
        <v>1</v>
      </c>
      <c r="F273" s="7">
        <v>0</v>
      </c>
      <c r="G273">
        <f>21.6/2</f>
        <v>10.8</v>
      </c>
      <c r="H273" s="5">
        <f t="shared" si="8"/>
        <v>45.781200000000013</v>
      </c>
      <c r="I273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</row>
    <row r="274" spans="1:16" hidden="1" x14ac:dyDescent="0.25">
      <c r="A274" t="s">
        <v>317</v>
      </c>
      <c r="B274" s="5">
        <v>32.688000000000002</v>
      </c>
      <c r="C274" s="5">
        <v>-83.653999999999996</v>
      </c>
      <c r="D274" s="5" t="s">
        <v>1286</v>
      </c>
      <c r="E274" s="5">
        <v>1</v>
      </c>
      <c r="F274" s="7">
        <v>1</v>
      </c>
      <c r="G274">
        <v>10</v>
      </c>
      <c r="H274" s="5">
        <f t="shared" si="8"/>
        <v>39.25</v>
      </c>
      <c r="I274">
        <v>0</v>
      </c>
      <c r="J274">
        <v>0</v>
      </c>
      <c r="K274">
        <v>0</v>
      </c>
      <c r="L274">
        <f>3.5/H274</f>
        <v>8.9171974522292988E-2</v>
      </c>
      <c r="M274">
        <f>7*4.5/2/H274</f>
        <v>0.40127388535031849</v>
      </c>
      <c r="N274">
        <f>6.5*4/2/H274</f>
        <v>0.33121019108280253</v>
      </c>
      <c r="O274">
        <v>0</v>
      </c>
      <c r="P274">
        <f>6/H274</f>
        <v>0.15286624203821655</v>
      </c>
    </row>
    <row r="275" spans="1:16" hidden="1" x14ac:dyDescent="0.25">
      <c r="A275" t="s">
        <v>103</v>
      </c>
      <c r="B275" s="5">
        <v>32.700000000000003</v>
      </c>
      <c r="C275" s="5">
        <v>-117.2</v>
      </c>
      <c r="D275" s="5" t="s">
        <v>1470</v>
      </c>
      <c r="E275" s="5">
        <v>1</v>
      </c>
      <c r="F275" s="7">
        <v>0</v>
      </c>
      <c r="G275">
        <v>11</v>
      </c>
      <c r="H275" s="5">
        <f t="shared" si="8"/>
        <v>47.4925</v>
      </c>
      <c r="I27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</row>
    <row r="276" spans="1:16" hidden="1" x14ac:dyDescent="0.25">
      <c r="A276" t="s">
        <v>980</v>
      </c>
      <c r="B276" s="5">
        <v>32.71</v>
      </c>
      <c r="C276" s="5">
        <v>-96.266999999999996</v>
      </c>
      <c r="D276" s="5" t="s">
        <v>1367</v>
      </c>
      <c r="E276" s="5">
        <v>1</v>
      </c>
      <c r="F276" s="7">
        <v>1</v>
      </c>
      <c r="G276">
        <v>11</v>
      </c>
      <c r="H276" s="5">
        <f t="shared" si="8"/>
        <v>47.4925</v>
      </c>
      <c r="I276">
        <f>1.5*3/H276</f>
        <v>9.4751802916249933E-2</v>
      </c>
      <c r="J276">
        <f>1/H276</f>
        <v>2.1055956203611097E-2</v>
      </c>
      <c r="K276">
        <f>4*4.5/2/H276</f>
        <v>0.18950360583249987</v>
      </c>
      <c r="L276">
        <v>0</v>
      </c>
      <c r="M276">
        <v>0</v>
      </c>
      <c r="N276">
        <f>2.5/H276</f>
        <v>5.2639890509027738E-2</v>
      </c>
      <c r="O276">
        <f>0.5/H276</f>
        <v>1.0527978101805549E-2</v>
      </c>
      <c r="P276">
        <f>1.3/H276</f>
        <v>2.7372743064694425E-2</v>
      </c>
    </row>
    <row r="277" spans="1:16" hidden="1" x14ac:dyDescent="0.25">
      <c r="A277" t="s">
        <v>1013</v>
      </c>
      <c r="B277" s="5">
        <v>32.732999999999997</v>
      </c>
      <c r="C277" s="5">
        <v>-96.966999999999999</v>
      </c>
      <c r="D277" s="5" t="s">
        <v>1398</v>
      </c>
      <c r="E277" s="5">
        <v>1</v>
      </c>
      <c r="F277" s="7">
        <v>0</v>
      </c>
      <c r="G277">
        <f>21.8/2</f>
        <v>10.9</v>
      </c>
      <c r="H277" s="5">
        <f t="shared" si="8"/>
        <v>46.632925</v>
      </c>
      <c r="I277">
        <v>0</v>
      </c>
      <c r="J277">
        <v>0</v>
      </c>
      <c r="K277">
        <f>5/H277</f>
        <v>0.10722038130784205</v>
      </c>
      <c r="L277">
        <f>6*1.8/2/H277</f>
        <v>0.11579801181246942</v>
      </c>
      <c r="M277">
        <f>3/H277</f>
        <v>6.4332228784705223E-2</v>
      </c>
      <c r="N277">
        <v>0</v>
      </c>
      <c r="O277">
        <v>0</v>
      </c>
      <c r="P277">
        <v>0</v>
      </c>
    </row>
    <row r="278" spans="1:16" hidden="1" x14ac:dyDescent="0.25">
      <c r="A278" t="s">
        <v>100</v>
      </c>
      <c r="B278" s="5">
        <v>32.734999999999999</v>
      </c>
      <c r="C278" s="5">
        <v>-117.169</v>
      </c>
      <c r="D278" s="5" t="s">
        <v>1467</v>
      </c>
      <c r="E278" s="5">
        <v>1</v>
      </c>
      <c r="F278" s="7">
        <v>0</v>
      </c>
      <c r="G278">
        <f>23.2/2</f>
        <v>11.6</v>
      </c>
      <c r="H278" s="5">
        <f t="shared" si="8"/>
        <v>52.814799999999998</v>
      </c>
      <c r="I278">
        <f>0.8/H278</f>
        <v>1.5147269326022252E-2</v>
      </c>
      <c r="J278">
        <v>0</v>
      </c>
      <c r="K278">
        <v>0</v>
      </c>
      <c r="L278">
        <f>1/H278</f>
        <v>1.8934086657527816E-2</v>
      </c>
      <c r="M278">
        <f>8/H278</f>
        <v>0.15147269326022253</v>
      </c>
      <c r="N278">
        <f>2.5/H278</f>
        <v>4.7335216643819539E-2</v>
      </c>
      <c r="O278">
        <v>0</v>
      </c>
      <c r="P278">
        <f>0.7/H278</f>
        <v>1.325386066026947E-2</v>
      </c>
    </row>
    <row r="279" spans="1:16" hidden="1" x14ac:dyDescent="0.25">
      <c r="A279" t="s">
        <v>1017</v>
      </c>
      <c r="B279" s="5">
        <v>32.768999999999998</v>
      </c>
      <c r="C279" s="5">
        <v>-97.441000000000003</v>
      </c>
      <c r="D279" s="5" t="s">
        <v>1402</v>
      </c>
      <c r="E279" s="5">
        <v>1</v>
      </c>
      <c r="F279" s="7">
        <v>1</v>
      </c>
      <c r="G279">
        <f>23.5/2</f>
        <v>11.75</v>
      </c>
      <c r="H279" s="5">
        <f t="shared" si="8"/>
        <v>54.189531250000002</v>
      </c>
      <c r="I279">
        <v>0</v>
      </c>
      <c r="J279">
        <f>0.5/H279</f>
        <v>9.2268744251224714E-3</v>
      </c>
      <c r="K279">
        <f>0.5/H279</f>
        <v>9.2268744251224714E-3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hidden="1" x14ac:dyDescent="0.25">
      <c r="A280" t="s">
        <v>1019</v>
      </c>
      <c r="B280" s="5">
        <v>32.781999999999996</v>
      </c>
      <c r="C280" s="5">
        <v>-98.061000000000007</v>
      </c>
      <c r="D280" s="5" t="s">
        <v>1404</v>
      </c>
      <c r="E280" s="5">
        <v>1</v>
      </c>
      <c r="F280" s="7">
        <v>1</v>
      </c>
      <c r="G280">
        <v>12.5</v>
      </c>
      <c r="H280" s="5">
        <f t="shared" si="8"/>
        <v>61.328125</v>
      </c>
      <c r="I280">
        <f>1/H280</f>
        <v>1.6305732484076432E-2</v>
      </c>
      <c r="J280">
        <f>6/H280</f>
        <v>9.7834394904458596E-2</v>
      </c>
      <c r="K280">
        <f>1.4/H280</f>
        <v>2.2828025477707004E-2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hidden="1" x14ac:dyDescent="0.25">
      <c r="A281" t="s">
        <v>101</v>
      </c>
      <c r="B281" s="5">
        <v>32.816000000000003</v>
      </c>
      <c r="C281" s="5">
        <v>-117.139</v>
      </c>
      <c r="D281" s="5" t="s">
        <v>1468</v>
      </c>
      <c r="E281" s="5">
        <v>1</v>
      </c>
      <c r="F281" s="7">
        <v>1</v>
      </c>
      <c r="G281">
        <f>19.5/2</f>
        <v>9.75</v>
      </c>
      <c r="H281" s="5">
        <f t="shared" si="8"/>
        <v>37.312031250000004</v>
      </c>
      <c r="I281">
        <v>0</v>
      </c>
      <c r="J281">
        <f>0.3/H281</f>
        <v>8.0403020138443936E-3</v>
      </c>
      <c r="K281">
        <v>0</v>
      </c>
      <c r="L281">
        <f>1.7/H281</f>
        <v>4.5561711411784903E-2</v>
      </c>
      <c r="M281">
        <f>3/H281</f>
        <v>8.0403020138443942E-2</v>
      </c>
      <c r="N281">
        <f>4/H281</f>
        <v>0.10720402685125859</v>
      </c>
      <c r="O281">
        <f>1.5/H281</f>
        <v>4.0201510069221971E-2</v>
      </c>
      <c r="P281">
        <v>0</v>
      </c>
    </row>
    <row r="282" spans="1:16" hidden="1" x14ac:dyDescent="0.25">
      <c r="A282" t="s">
        <v>89</v>
      </c>
      <c r="B282" s="5">
        <v>32.817</v>
      </c>
      <c r="C282" s="5">
        <v>-115.667</v>
      </c>
      <c r="D282" s="5" t="s">
        <v>1448</v>
      </c>
      <c r="E282" s="5">
        <v>1</v>
      </c>
      <c r="F282" s="7">
        <v>0</v>
      </c>
      <c r="G282">
        <f>21.7/2</f>
        <v>10.85</v>
      </c>
      <c r="H282" s="5">
        <f t="shared" si="8"/>
        <v>46.206081250000004</v>
      </c>
      <c r="I282">
        <v>0</v>
      </c>
      <c r="J282">
        <v>0</v>
      </c>
      <c r="K282">
        <v>0</v>
      </c>
      <c r="L282">
        <v>0</v>
      </c>
      <c r="M282">
        <f>0.3/H282</f>
        <v>6.4926518736102504E-3</v>
      </c>
      <c r="N282">
        <f>0.5/H282</f>
        <v>1.0821086456017084E-2</v>
      </c>
      <c r="O282">
        <v>0</v>
      </c>
      <c r="P282">
        <v>0</v>
      </c>
    </row>
    <row r="283" spans="1:16" hidden="1" x14ac:dyDescent="0.25">
      <c r="A283" t="s">
        <v>1018</v>
      </c>
      <c r="B283" s="5">
        <v>32.819000000000003</v>
      </c>
      <c r="C283" s="5">
        <v>-97.361000000000004</v>
      </c>
      <c r="D283" s="5" t="s">
        <v>1403</v>
      </c>
      <c r="E283" s="5">
        <v>1</v>
      </c>
      <c r="F283" s="7">
        <v>1</v>
      </c>
      <c r="G283">
        <v>12.5</v>
      </c>
      <c r="H283" s="5">
        <f t="shared" si="8"/>
        <v>61.328125</v>
      </c>
      <c r="I283">
        <v>0</v>
      </c>
      <c r="J283">
        <v>0</v>
      </c>
      <c r="K283">
        <v>0</v>
      </c>
      <c r="L283">
        <v>0</v>
      </c>
      <c r="M283">
        <v>0</v>
      </c>
      <c r="N283">
        <f>2/H283</f>
        <v>3.2611464968152863E-2</v>
      </c>
      <c r="O283">
        <f>8*2.8/2/H283</f>
        <v>0.18262420382165603</v>
      </c>
      <c r="P283">
        <v>0</v>
      </c>
    </row>
    <row r="284" spans="1:16" hidden="1" x14ac:dyDescent="0.25">
      <c r="A284" t="s">
        <v>194</v>
      </c>
      <c r="B284" s="5">
        <v>32.834000000000003</v>
      </c>
      <c r="C284" s="5">
        <v>-115.57899999999999</v>
      </c>
      <c r="D284" s="5" t="s">
        <v>2268</v>
      </c>
      <c r="E284" s="5">
        <v>1</v>
      </c>
      <c r="F284" s="7">
        <v>1</v>
      </c>
      <c r="G284">
        <v>11</v>
      </c>
      <c r="H284" s="5">
        <f t="shared" si="8"/>
        <v>47.4925</v>
      </c>
      <c r="I284">
        <v>0</v>
      </c>
      <c r="J284">
        <f>3/H284</f>
        <v>6.3167868610833289E-2</v>
      </c>
      <c r="K284">
        <f>2/H284</f>
        <v>4.2111912407222195E-2</v>
      </c>
      <c r="L284">
        <v>0</v>
      </c>
      <c r="M284">
        <v>0</v>
      </c>
      <c r="N284">
        <v>0</v>
      </c>
      <c r="O284">
        <v>0</v>
      </c>
      <c r="P284">
        <f>2/H284</f>
        <v>4.2111912407222195E-2</v>
      </c>
    </row>
    <row r="285" spans="1:16" hidden="1" x14ac:dyDescent="0.25">
      <c r="A285" t="s">
        <v>1011</v>
      </c>
      <c r="B285" s="1">
        <v>32.847000000000001</v>
      </c>
      <c r="C285" s="1">
        <v>-96.850999999999999</v>
      </c>
      <c r="D285" s="1" t="s">
        <v>1397</v>
      </c>
      <c r="E285" s="5">
        <v>1</v>
      </c>
      <c r="F285" s="7">
        <v>1</v>
      </c>
      <c r="G285" s="5">
        <f>23.5/2</f>
        <v>11.75</v>
      </c>
      <c r="H285" s="5">
        <f t="shared" si="8"/>
        <v>54.189531250000002</v>
      </c>
      <c r="I285" s="5">
        <v>0</v>
      </c>
      <c r="J285" s="5">
        <f>2/H285</f>
        <v>3.6907497700489886E-2</v>
      </c>
      <c r="K285" s="5">
        <v>0</v>
      </c>
      <c r="L285" s="5">
        <v>0</v>
      </c>
      <c r="M285" s="5">
        <f>0.3/H285</f>
        <v>5.5361246550734832E-3</v>
      </c>
      <c r="N285" s="5">
        <f>3*4/H285</f>
        <v>0.22144498620293934</v>
      </c>
      <c r="O285" s="5">
        <f>5*5/2/H285</f>
        <v>0.2306718606280618</v>
      </c>
      <c r="P285" s="5">
        <f>2/H285</f>
        <v>3.6907497700489886E-2</v>
      </c>
    </row>
    <row r="286" spans="1:16" hidden="1" x14ac:dyDescent="0.25">
      <c r="A286" t="s">
        <v>1012</v>
      </c>
      <c r="B286" s="1">
        <v>32.847000000000001</v>
      </c>
      <c r="C286" s="1">
        <v>-96.850999999999999</v>
      </c>
      <c r="D286" s="1" t="s">
        <v>1397</v>
      </c>
      <c r="E286" s="5">
        <v>1</v>
      </c>
      <c r="F286" s="7">
        <v>1</v>
      </c>
      <c r="G286" s="5">
        <f>23.5/2</f>
        <v>11.75</v>
      </c>
      <c r="H286" s="5">
        <f t="shared" si="8"/>
        <v>54.189531250000002</v>
      </c>
      <c r="I286" s="5">
        <v>0</v>
      </c>
      <c r="J286" s="5">
        <f>2/H286</f>
        <v>3.6907497700489886E-2</v>
      </c>
      <c r="K286" s="5">
        <v>0</v>
      </c>
      <c r="L286" s="5">
        <v>0</v>
      </c>
      <c r="M286" s="5">
        <f>0.3/H286</f>
        <v>5.5361246550734832E-3</v>
      </c>
      <c r="N286" s="5">
        <f>3*4/H286</f>
        <v>0.22144498620293934</v>
      </c>
      <c r="O286" s="5">
        <f>5*5/2/H286</f>
        <v>0.2306718606280618</v>
      </c>
      <c r="P286" s="5">
        <f>2/H286</f>
        <v>3.6907497700489886E-2</v>
      </c>
    </row>
    <row r="287" spans="1:16" hidden="1" x14ac:dyDescent="0.25">
      <c r="A287" t="s">
        <v>1010</v>
      </c>
      <c r="B287" s="1">
        <v>32.847000000000001</v>
      </c>
      <c r="C287" s="1">
        <v>-96.850999999999999</v>
      </c>
      <c r="D287" s="1" t="s">
        <v>1396</v>
      </c>
      <c r="E287" s="5">
        <v>1</v>
      </c>
      <c r="F287" s="7">
        <v>1</v>
      </c>
      <c r="G287">
        <f>23.5/2</f>
        <v>11.75</v>
      </c>
      <c r="H287" s="5">
        <f t="shared" si="8"/>
        <v>54.189531250000002</v>
      </c>
      <c r="I287">
        <v>0</v>
      </c>
      <c r="J287">
        <f>2/H287</f>
        <v>3.6907497700489886E-2</v>
      </c>
      <c r="K287">
        <v>0</v>
      </c>
      <c r="L287">
        <v>0</v>
      </c>
      <c r="M287">
        <f>0.3/H287</f>
        <v>5.5361246550734832E-3</v>
      </c>
      <c r="N287">
        <f>3*4/H287</f>
        <v>0.22144498620293934</v>
      </c>
      <c r="O287">
        <f>5*5/2/H287</f>
        <v>0.2306718606280618</v>
      </c>
      <c r="P287">
        <f>2/H287</f>
        <v>3.6907497700489886E-2</v>
      </c>
    </row>
    <row r="288" spans="1:16" hidden="1" x14ac:dyDescent="0.25">
      <c r="A288" t="s">
        <v>719</v>
      </c>
      <c r="B288" s="5">
        <v>32.85</v>
      </c>
      <c r="C288" s="5">
        <v>-106.1</v>
      </c>
      <c r="D288" s="5" t="s">
        <v>1197</v>
      </c>
      <c r="E288" s="5">
        <v>1</v>
      </c>
      <c r="H288" s="5">
        <f t="shared" si="8"/>
        <v>0</v>
      </c>
    </row>
    <row r="289" spans="1:16" hidden="1" x14ac:dyDescent="0.25">
      <c r="A289" t="s">
        <v>733</v>
      </c>
      <c r="B289" s="5">
        <v>32.850999999999999</v>
      </c>
      <c r="C289" s="5">
        <v>-106.102</v>
      </c>
      <c r="D289" s="5" t="s">
        <v>2273</v>
      </c>
      <c r="E289">
        <v>1</v>
      </c>
      <c r="F289" s="7">
        <v>0</v>
      </c>
      <c r="G289">
        <f>21.7/2</f>
        <v>10.85</v>
      </c>
      <c r="H289" s="5">
        <f t="shared" si="8"/>
        <v>46.206081250000004</v>
      </c>
      <c r="I289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</row>
    <row r="290" spans="1:16" hidden="1" x14ac:dyDescent="0.25">
      <c r="A290" t="s">
        <v>59</v>
      </c>
      <c r="B290" s="5">
        <v>32.854999999999997</v>
      </c>
      <c r="C290" s="5">
        <v>-109.63500000000001</v>
      </c>
      <c r="D290" s="5" t="s">
        <v>1440</v>
      </c>
      <c r="E290">
        <v>1</v>
      </c>
      <c r="F290" s="7">
        <v>0</v>
      </c>
      <c r="G290">
        <f>23.4/2</f>
        <v>11.7</v>
      </c>
      <c r="H290" s="5">
        <f t="shared" si="8"/>
        <v>53.729324999999996</v>
      </c>
      <c r="I290">
        <v>0</v>
      </c>
      <c r="J290">
        <v>0</v>
      </c>
      <c r="K290">
        <v>0</v>
      </c>
      <c r="L290">
        <v>0</v>
      </c>
      <c r="M290">
        <f>1.4/H290</f>
        <v>2.6056534304125356E-2</v>
      </c>
      <c r="N290">
        <f>3/H290</f>
        <v>5.5835430651697195E-2</v>
      </c>
      <c r="O290">
        <v>0</v>
      </c>
      <c r="P290">
        <v>0</v>
      </c>
    </row>
    <row r="291" spans="1:16" hidden="1" x14ac:dyDescent="0.25">
      <c r="A291" t="s">
        <v>114</v>
      </c>
      <c r="B291" s="1">
        <v>32.866999999999997</v>
      </c>
      <c r="C291" s="1">
        <v>-117.15</v>
      </c>
      <c r="D291" s="1" t="s">
        <v>1480</v>
      </c>
      <c r="E291">
        <v>1</v>
      </c>
      <c r="F291" s="7">
        <v>0</v>
      </c>
      <c r="G291">
        <f>24.7/2</f>
        <v>12.35</v>
      </c>
      <c r="H291" s="5">
        <f t="shared" si="8"/>
        <v>59.865081250000003</v>
      </c>
      <c r="I291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</row>
    <row r="292" spans="1:16" hidden="1" x14ac:dyDescent="0.25">
      <c r="A292" t="s">
        <v>113</v>
      </c>
      <c r="B292" s="1">
        <v>32.866999999999997</v>
      </c>
      <c r="C292" s="1">
        <v>-117.15</v>
      </c>
      <c r="D292" s="1" t="s">
        <v>1479</v>
      </c>
      <c r="E292">
        <v>1</v>
      </c>
      <c r="F292" s="7">
        <v>0</v>
      </c>
      <c r="G292" s="5">
        <f>24.7/2</f>
        <v>12.35</v>
      </c>
      <c r="H292" s="5">
        <f t="shared" si="8"/>
        <v>59.865081250000003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</row>
    <row r="293" spans="1:16" hidden="1" x14ac:dyDescent="0.25">
      <c r="A293" t="s">
        <v>80</v>
      </c>
      <c r="B293" s="5">
        <v>32.887999999999998</v>
      </c>
      <c r="C293" s="5">
        <v>-112.72</v>
      </c>
      <c r="D293" s="5" t="s">
        <v>2272</v>
      </c>
      <c r="E293">
        <v>1</v>
      </c>
      <c r="F293" s="7">
        <v>0</v>
      </c>
      <c r="G293">
        <f>22.3/2</f>
        <v>11.15</v>
      </c>
      <c r="H293" s="5">
        <f t="shared" si="8"/>
        <v>48.796581250000003</v>
      </c>
      <c r="I293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</row>
    <row r="294" spans="1:16" hidden="1" x14ac:dyDescent="0.25">
      <c r="A294" t="s">
        <v>1015</v>
      </c>
      <c r="B294" s="5">
        <v>32.896000000000001</v>
      </c>
      <c r="C294" s="5">
        <v>-97.040999999999997</v>
      </c>
      <c r="D294" s="5" t="s">
        <v>1400</v>
      </c>
      <c r="E294" s="5">
        <v>1</v>
      </c>
      <c r="F294" s="7">
        <v>1</v>
      </c>
      <c r="G294">
        <v>10</v>
      </c>
      <c r="H294" s="5">
        <f t="shared" si="8"/>
        <v>39.25</v>
      </c>
      <c r="I294">
        <v>0</v>
      </c>
      <c r="J294">
        <v>0</v>
      </c>
      <c r="K294">
        <f>2/H294</f>
        <v>5.0955414012738856E-2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idden="1" x14ac:dyDescent="0.25">
      <c r="A295" t="s">
        <v>909</v>
      </c>
      <c r="B295" s="5">
        <v>32.899000000000001</v>
      </c>
      <c r="C295" s="5">
        <v>-80.040999999999997</v>
      </c>
      <c r="D295" s="5" t="s">
        <v>1258</v>
      </c>
      <c r="E295" s="5">
        <v>1</v>
      </c>
      <c r="F295" s="7">
        <v>1</v>
      </c>
      <c r="G295">
        <f>21.5/2</f>
        <v>10.75</v>
      </c>
      <c r="H295" s="5">
        <f t="shared" si="8"/>
        <v>45.358281250000005</v>
      </c>
      <c r="I295">
        <v>0</v>
      </c>
      <c r="J295">
        <v>0</v>
      </c>
      <c r="K295">
        <v>0</v>
      </c>
      <c r="L295">
        <v>0</v>
      </c>
      <c r="M295">
        <v>0</v>
      </c>
      <c r="N295">
        <f>0.75/H295</f>
        <v>1.6535018067952031E-2</v>
      </c>
      <c r="O295">
        <f>1.5/H295</f>
        <v>3.3070036135904063E-2</v>
      </c>
      <c r="P295">
        <v>0</v>
      </c>
    </row>
    <row r="296" spans="1:16" hidden="1" x14ac:dyDescent="0.25">
      <c r="A296" t="s">
        <v>1016</v>
      </c>
      <c r="B296" s="5">
        <v>32.972999999999999</v>
      </c>
      <c r="C296" s="5">
        <v>-97.317999999999998</v>
      </c>
      <c r="D296" s="5" t="s">
        <v>1401</v>
      </c>
      <c r="E296">
        <v>1</v>
      </c>
      <c r="F296" s="7">
        <v>0</v>
      </c>
      <c r="G296">
        <f>25.5/2</f>
        <v>12.75</v>
      </c>
      <c r="H296" s="5">
        <f t="shared" si="8"/>
        <v>63.805781250000003</v>
      </c>
      <c r="I296">
        <v>0</v>
      </c>
      <c r="J296">
        <f>5*4/2/H296</f>
        <v>0.15672561018912373</v>
      </c>
      <c r="K296">
        <f>2.3*9/2/H296</f>
        <v>0.16221100654574305</v>
      </c>
      <c r="L296">
        <f>2.5/H296</f>
        <v>3.9181402547280933E-2</v>
      </c>
      <c r="M296">
        <v>0</v>
      </c>
      <c r="N296">
        <v>0</v>
      </c>
      <c r="O296">
        <v>0</v>
      </c>
      <c r="P296">
        <v>0</v>
      </c>
    </row>
    <row r="297" spans="1:16" hidden="1" x14ac:dyDescent="0.25">
      <c r="A297" t="s">
        <v>109</v>
      </c>
      <c r="B297" s="5">
        <v>33.023000000000003</v>
      </c>
      <c r="C297" s="5">
        <v>-118.58799999999999</v>
      </c>
      <c r="D297" s="5" t="s">
        <v>1475</v>
      </c>
      <c r="E297" s="5">
        <v>1</v>
      </c>
      <c r="F297" s="7">
        <v>0</v>
      </c>
      <c r="G297">
        <v>12.5</v>
      </c>
      <c r="H297" s="5">
        <f t="shared" si="8"/>
        <v>61.328125</v>
      </c>
      <c r="I297">
        <f>0.5/H297</f>
        <v>8.1528662420382158E-3</v>
      </c>
      <c r="J297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</row>
    <row r="298" spans="1:16" hidden="1" x14ac:dyDescent="0.25">
      <c r="A298" t="s">
        <v>185</v>
      </c>
      <c r="B298" s="5">
        <v>33.033000000000001</v>
      </c>
      <c r="C298" s="5">
        <v>-116.917</v>
      </c>
      <c r="D298" s="5" t="s">
        <v>2245</v>
      </c>
      <c r="E298" s="5">
        <v>1</v>
      </c>
      <c r="F298" s="7">
        <v>1</v>
      </c>
      <c r="G298">
        <f>21.8/2</f>
        <v>10.9</v>
      </c>
      <c r="H298" s="5">
        <f t="shared" si="8"/>
        <v>46.632925</v>
      </c>
      <c r="I298">
        <f>3.5/H298</f>
        <v>7.5054266915489429E-2</v>
      </c>
      <c r="J298">
        <f>7/H298</f>
        <v>0.15010853383097886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idden="1" x14ac:dyDescent="0.25">
      <c r="A299" t="s">
        <v>111</v>
      </c>
      <c r="B299" s="5">
        <v>33.128</v>
      </c>
      <c r="C299" s="5">
        <v>-117.279</v>
      </c>
      <c r="D299" s="5" t="s">
        <v>1477</v>
      </c>
      <c r="E299" s="5">
        <v>1</v>
      </c>
      <c r="F299" s="7">
        <v>1</v>
      </c>
      <c r="G299">
        <f>25.5/2</f>
        <v>12.75</v>
      </c>
      <c r="H299" s="5">
        <f t="shared" si="8"/>
        <v>63.805781250000003</v>
      </c>
      <c r="I299">
        <f>(H299-7*8/2)/H299</f>
        <v>0.56116829147045355</v>
      </c>
      <c r="J299">
        <f>10*4.5/2/H299</f>
        <v>0.35263262292552838</v>
      </c>
      <c r="K299">
        <f>1/H299</f>
        <v>1.5672561018912373E-2</v>
      </c>
      <c r="L299">
        <f>3/H299</f>
        <v>4.701768305673712E-2</v>
      </c>
      <c r="M299">
        <f>4*5/2/H299</f>
        <v>0.15672561018912373</v>
      </c>
      <c r="N299">
        <f>4*2.5/2/H299</f>
        <v>7.8362805094561866E-2</v>
      </c>
      <c r="O299">
        <f>5.8*2.5/H299</f>
        <v>0.2272521347742294</v>
      </c>
      <c r="P299">
        <f>8*5/2/H299</f>
        <v>0.31345122037824746</v>
      </c>
    </row>
    <row r="300" spans="1:16" hidden="1" x14ac:dyDescent="0.25">
      <c r="A300" t="s">
        <v>21</v>
      </c>
      <c r="B300" s="5">
        <v>33.177999999999997</v>
      </c>
      <c r="C300" s="5">
        <v>-86.781999999999996</v>
      </c>
      <c r="D300" s="5" t="s">
        <v>1326</v>
      </c>
      <c r="E300" s="5">
        <v>1</v>
      </c>
      <c r="F300" s="7">
        <v>1</v>
      </c>
      <c r="G300">
        <v>12.5</v>
      </c>
      <c r="H300" s="5">
        <f t="shared" si="8"/>
        <v>61.328125</v>
      </c>
      <c r="I300">
        <f>1.5*8.5/H300</f>
        <v>0.20789808917197453</v>
      </c>
      <c r="J300">
        <f>10/H300</f>
        <v>0.16305732484076432</v>
      </c>
      <c r="K300">
        <f>9*5/2/H300</f>
        <v>0.36687898089171972</v>
      </c>
      <c r="L300">
        <f>6*3.5/2/H300</f>
        <v>0.17121019108280255</v>
      </c>
      <c r="M300">
        <f>4*5/2/H300</f>
        <v>0.16305732484076432</v>
      </c>
      <c r="N300">
        <f>(H300-5.5*5.5/2)/H300</f>
        <v>0.75337579617834394</v>
      </c>
      <c r="O300">
        <f>(H300-5.5*5.5/2)/H300</f>
        <v>0.75337579617834394</v>
      </c>
      <c r="P300">
        <f>6*4.5/2/H300</f>
        <v>0.22012738853503186</v>
      </c>
    </row>
    <row r="301" spans="1:16" hidden="1" x14ac:dyDescent="0.25">
      <c r="A301" t="s">
        <v>999</v>
      </c>
      <c r="B301" s="5">
        <v>33.18</v>
      </c>
      <c r="C301" s="5">
        <v>-96.59</v>
      </c>
      <c r="D301" s="5" t="s">
        <v>1386</v>
      </c>
      <c r="E301" s="5">
        <v>1</v>
      </c>
      <c r="F301" s="7">
        <v>1</v>
      </c>
      <c r="G301">
        <f>25.4/2</f>
        <v>12.7</v>
      </c>
      <c r="H301" s="5">
        <f t="shared" si="8"/>
        <v>63.306324999999994</v>
      </c>
      <c r="I301">
        <f>5*4.5/2/H301</f>
        <v>0.17770736178415034</v>
      </c>
      <c r="J301">
        <f>1/H301</f>
        <v>1.5796209936368918E-2</v>
      </c>
      <c r="K301">
        <v>0</v>
      </c>
      <c r="L301">
        <v>0</v>
      </c>
      <c r="M301">
        <v>0</v>
      </c>
      <c r="N301">
        <v>0</v>
      </c>
      <c r="O301">
        <f>3/H301</f>
        <v>4.7388629809106755E-2</v>
      </c>
      <c r="P301">
        <f>10.5*3.5/2/H301</f>
        <v>0.29025535758077886</v>
      </c>
    </row>
    <row r="302" spans="1:16" hidden="1" x14ac:dyDescent="0.25">
      <c r="A302" t="s">
        <v>1014</v>
      </c>
      <c r="B302" s="5">
        <v>33.206000000000003</v>
      </c>
      <c r="C302" s="5">
        <v>-97.198999999999998</v>
      </c>
      <c r="D302" s="5" t="s">
        <v>1399</v>
      </c>
      <c r="E302" s="5">
        <v>1</v>
      </c>
      <c r="F302" s="7">
        <v>1</v>
      </c>
      <c r="G302">
        <f>21.5/2</f>
        <v>10.75</v>
      </c>
      <c r="H302" s="5">
        <f t="shared" si="8"/>
        <v>45.358281250000005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idden="1" x14ac:dyDescent="0.25">
      <c r="A303" t="s">
        <v>19</v>
      </c>
      <c r="B303" s="5">
        <v>33.212000000000003</v>
      </c>
      <c r="C303" s="5">
        <v>-87.616</v>
      </c>
      <c r="D303" s="5" t="s">
        <v>1324</v>
      </c>
      <c r="E303">
        <v>1</v>
      </c>
      <c r="F303" s="7">
        <v>1</v>
      </c>
      <c r="G303">
        <f>20.2/2</f>
        <v>10.1</v>
      </c>
      <c r="H303" s="5">
        <f t="shared" si="8"/>
        <v>40.038924999999999</v>
      </c>
      <c r="I303">
        <f>1/H303</f>
        <v>2.4975695526290979E-2</v>
      </c>
      <c r="J303">
        <v>0</v>
      </c>
      <c r="K303">
        <f>3.5*5.5/2/H303</f>
        <v>0.24039106944055066</v>
      </c>
      <c r="L303">
        <f>7.5*5.5/2/H303</f>
        <v>0.51512372022975139</v>
      </c>
      <c r="M303">
        <f>3.5*3.5/2/H303</f>
        <v>0.15297613509853225</v>
      </c>
      <c r="N303">
        <v>0</v>
      </c>
      <c r="O303">
        <v>0</v>
      </c>
      <c r="P303">
        <f>3.5*1.5/2/H303</f>
        <v>6.5561200756513824E-2</v>
      </c>
    </row>
    <row r="304" spans="1:16" hidden="1" x14ac:dyDescent="0.25">
      <c r="A304" t="s">
        <v>115</v>
      </c>
      <c r="B304" s="5">
        <v>33.219000000000001</v>
      </c>
      <c r="C304" s="5">
        <v>-117.349</v>
      </c>
      <c r="D304" s="5" t="s">
        <v>1481</v>
      </c>
      <c r="E304" s="5">
        <v>1</v>
      </c>
      <c r="F304" s="7">
        <v>1</v>
      </c>
      <c r="G304">
        <f>23.7/2</f>
        <v>11.85</v>
      </c>
      <c r="H304" s="5">
        <f t="shared" si="8"/>
        <v>55.115831250000006</v>
      </c>
      <c r="I304">
        <f>(H304-3.5*4/2)/H304</f>
        <v>0.87299474867305027</v>
      </c>
      <c r="J304">
        <f>7.5*9.5/2/H304</f>
        <v>0.64636601121751192</v>
      </c>
      <c r="K304">
        <v>0</v>
      </c>
      <c r="L304">
        <f>8*4.8/2/H304</f>
        <v>0.34835726078249063</v>
      </c>
      <c r="M304">
        <f>8*4/2/H304</f>
        <v>0.29029771731874221</v>
      </c>
      <c r="N304">
        <f>1.8/H304</f>
        <v>3.26584931983585E-2</v>
      </c>
      <c r="O304">
        <f>3*2.5/H304</f>
        <v>0.13607705499316042</v>
      </c>
      <c r="P304">
        <f>10*8/2/H304</f>
        <v>0.72574429329685552</v>
      </c>
    </row>
    <row r="305" spans="1:16" hidden="1" x14ac:dyDescent="0.25">
      <c r="A305" t="s">
        <v>38</v>
      </c>
      <c r="B305" s="5">
        <v>33.220999999999997</v>
      </c>
      <c r="C305" s="5">
        <v>-92.813000000000002</v>
      </c>
      <c r="D305" s="5" t="s">
        <v>1564</v>
      </c>
      <c r="E305" s="5">
        <v>1</v>
      </c>
      <c r="F305" s="7">
        <v>1</v>
      </c>
      <c r="G305">
        <f>22.6/2</f>
        <v>11.3</v>
      </c>
      <c r="H305" s="5">
        <f t="shared" ref="H305:H368" si="9">3.14*G305*G305/8</f>
        <v>50.118325000000013</v>
      </c>
      <c r="I305">
        <f>2/H305</f>
        <v>3.9905563484015069E-2</v>
      </c>
      <c r="J305">
        <v>0</v>
      </c>
      <c r="K305">
        <v>0</v>
      </c>
      <c r="L305">
        <f>1.4/H305</f>
        <v>2.7933894438810544E-2</v>
      </c>
      <c r="M305">
        <v>0</v>
      </c>
      <c r="N305">
        <v>0</v>
      </c>
      <c r="O305">
        <v>0</v>
      </c>
      <c r="P305">
        <v>0</v>
      </c>
    </row>
    <row r="306" spans="1:16" hidden="1" x14ac:dyDescent="0.25">
      <c r="A306" t="s">
        <v>720</v>
      </c>
      <c r="B306" s="3">
        <v>33.237000000000002</v>
      </c>
      <c r="C306" s="3">
        <v>-107.268</v>
      </c>
      <c r="D306" s="3" t="s">
        <v>1432</v>
      </c>
      <c r="E306" s="5">
        <v>1</v>
      </c>
      <c r="F306" s="7">
        <v>0</v>
      </c>
      <c r="G306">
        <f>22.6/2</f>
        <v>11.3</v>
      </c>
      <c r="H306" s="5">
        <f t="shared" si="9"/>
        <v>50.118325000000013</v>
      </c>
      <c r="I306">
        <f>5/H306</f>
        <v>9.9763908710037666E-2</v>
      </c>
      <c r="J306">
        <f>1.5/H306</f>
        <v>2.9929172613011302E-2</v>
      </c>
      <c r="K306">
        <f>0.3/H306</f>
        <v>5.9858345226022599E-3</v>
      </c>
      <c r="L306">
        <v>0</v>
      </c>
      <c r="M306">
        <f>2/H306</f>
        <v>3.9905563484015069E-2</v>
      </c>
      <c r="N306">
        <f>0.5/H306</f>
        <v>9.9763908710037673E-3</v>
      </c>
      <c r="O306">
        <f>0.5/H306</f>
        <v>9.9763908710037673E-3</v>
      </c>
      <c r="P306">
        <v>0</v>
      </c>
    </row>
    <row r="307" spans="1:16" hidden="1" x14ac:dyDescent="0.25">
      <c r="A307" t="s">
        <v>106</v>
      </c>
      <c r="B307" s="5">
        <v>33.24</v>
      </c>
      <c r="C307" s="5">
        <v>-119.458</v>
      </c>
      <c r="D307" s="5" t="s">
        <v>1472</v>
      </c>
      <c r="E307" s="5">
        <v>1</v>
      </c>
      <c r="F307" s="7">
        <v>0</v>
      </c>
      <c r="G307">
        <f>24.3/2</f>
        <v>12.15</v>
      </c>
      <c r="H307" s="5">
        <f t="shared" si="9"/>
        <v>57.941831250000007</v>
      </c>
      <c r="I307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</row>
    <row r="308" spans="1:16" hidden="1" x14ac:dyDescent="0.25">
      <c r="A308" t="s">
        <v>112</v>
      </c>
      <c r="B308" s="5">
        <v>33.286000000000001</v>
      </c>
      <c r="C308" s="5">
        <v>-117.456</v>
      </c>
      <c r="D308" s="5" t="s">
        <v>1478</v>
      </c>
      <c r="E308" s="5">
        <v>1</v>
      </c>
      <c r="F308" s="7">
        <v>0</v>
      </c>
      <c r="G308">
        <v>10.5</v>
      </c>
      <c r="H308" s="5">
        <f t="shared" si="9"/>
        <v>43.273125</v>
      </c>
      <c r="I308">
        <f>2/H308</f>
        <v>4.6218062596588526E-2</v>
      </c>
      <c r="J308">
        <f>2/H308</f>
        <v>4.6218062596588526E-2</v>
      </c>
      <c r="K308">
        <f>0.5/H308</f>
        <v>1.1554515649147131E-2</v>
      </c>
      <c r="L308">
        <v>0</v>
      </c>
      <c r="M308" s="5">
        <v>0</v>
      </c>
      <c r="N308" s="5">
        <v>0</v>
      </c>
      <c r="O308" s="5">
        <v>0</v>
      </c>
      <c r="P308" s="5">
        <v>0</v>
      </c>
    </row>
    <row r="309" spans="1:16" hidden="1" x14ac:dyDescent="0.25">
      <c r="A309" t="s">
        <v>110</v>
      </c>
      <c r="B309" s="5">
        <v>33.299999999999997</v>
      </c>
      <c r="C309" s="5">
        <v>-117.35</v>
      </c>
      <c r="D309" s="5" t="s">
        <v>1476</v>
      </c>
      <c r="E309" s="5">
        <v>1</v>
      </c>
      <c r="F309" s="7">
        <v>1</v>
      </c>
      <c r="G309">
        <f>23.5/2</f>
        <v>11.75</v>
      </c>
      <c r="H309" s="5">
        <f t="shared" si="9"/>
        <v>54.189531250000002</v>
      </c>
      <c r="I309">
        <f>7/H309</f>
        <v>0.12917624195171462</v>
      </c>
      <c r="J309">
        <f>3*5.5/2/H309</f>
        <v>0.15224342801452079</v>
      </c>
      <c r="K309">
        <v>0</v>
      </c>
      <c r="L309">
        <v>0</v>
      </c>
      <c r="M309">
        <v>0</v>
      </c>
      <c r="N309">
        <f>3*9.5/H309</f>
        <v>0.52593184223198086</v>
      </c>
      <c r="O309">
        <f>4*8/2/H309</f>
        <v>0.29525998160391909</v>
      </c>
      <c r="P309">
        <f>(H309-6*7.5/2)/H309</f>
        <v>0.58479065086948878</v>
      </c>
    </row>
    <row r="310" spans="1:16" hidden="1" x14ac:dyDescent="0.25">
      <c r="A310" t="s">
        <v>64</v>
      </c>
      <c r="B310">
        <v>33.308</v>
      </c>
      <c r="C310">
        <v>-111.65</v>
      </c>
      <c r="D310" t="s">
        <v>1445</v>
      </c>
      <c r="E310" s="5">
        <v>1</v>
      </c>
      <c r="F310" s="7">
        <v>0</v>
      </c>
      <c r="G310">
        <f>22.5/2</f>
        <v>11.25</v>
      </c>
      <c r="H310" s="5">
        <f t="shared" si="9"/>
        <v>49.675781250000007</v>
      </c>
      <c r="I310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</row>
    <row r="311" spans="1:16" hidden="1" x14ac:dyDescent="0.25">
      <c r="A311" t="s">
        <v>712</v>
      </c>
      <c r="B311" s="5">
        <v>33.308</v>
      </c>
      <c r="C311" s="5">
        <v>-104.541</v>
      </c>
      <c r="D311" s="5" t="s">
        <v>1424</v>
      </c>
      <c r="E311" s="5">
        <v>1</v>
      </c>
      <c r="F311" s="7">
        <v>0</v>
      </c>
      <c r="G311">
        <f>25.7/2</f>
        <v>12.85</v>
      </c>
      <c r="H311" s="5">
        <f t="shared" si="9"/>
        <v>64.810581249999998</v>
      </c>
      <c r="I311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</row>
    <row r="312" spans="1:16" hidden="1" x14ac:dyDescent="0.25">
      <c r="A312" t="s">
        <v>325</v>
      </c>
      <c r="B312" s="5">
        <v>33.354999999999997</v>
      </c>
      <c r="C312" s="5">
        <v>-84.566999999999993</v>
      </c>
      <c r="D312" s="5" t="s">
        <v>1295</v>
      </c>
      <c r="E312" s="5">
        <v>1</v>
      </c>
      <c r="F312" s="7">
        <v>1</v>
      </c>
      <c r="G312">
        <f>19.5/2</f>
        <v>9.75</v>
      </c>
      <c r="H312" s="5">
        <f t="shared" si="9"/>
        <v>37.312031250000004</v>
      </c>
      <c r="I312">
        <f>2.5/H312</f>
        <v>6.7002516782036614E-2</v>
      </c>
      <c r="J312">
        <f>4*6.5/2/H312</f>
        <v>0.34841308726659043</v>
      </c>
      <c r="K312">
        <f>4*5.5/2/H312</f>
        <v>0.29481107384096111</v>
      </c>
      <c r="L312">
        <f>1.5/H312</f>
        <v>4.0201510069221971E-2</v>
      </c>
      <c r="M312">
        <f>6.5*7.5/2/H312</f>
        <v>0.65327453862485707</v>
      </c>
      <c r="N312">
        <f>(H312-2.5)/H312</f>
        <v>0.93299748321796339</v>
      </c>
      <c r="O312">
        <f>(H312-5*5.5/2)/H312</f>
        <v>0.63148615769879857</v>
      </c>
      <c r="P312">
        <f>2.5*3/H312</f>
        <v>0.20100755034610984</v>
      </c>
    </row>
    <row r="313" spans="1:16" hidden="1" x14ac:dyDescent="0.25">
      <c r="A313" t="s">
        <v>319</v>
      </c>
      <c r="B313">
        <v>33.369999999999997</v>
      </c>
      <c r="C313">
        <v>-81.965000000000003</v>
      </c>
      <c r="D313" s="5" t="s">
        <v>1288</v>
      </c>
      <c r="E313" s="5">
        <v>1</v>
      </c>
      <c r="F313" s="7">
        <v>1</v>
      </c>
      <c r="G313">
        <f>19/2</f>
        <v>9.5</v>
      </c>
      <c r="H313" s="5">
        <f t="shared" si="9"/>
        <v>35.423124999999999</v>
      </c>
      <c r="I313">
        <v>0</v>
      </c>
      <c r="J313">
        <v>0</v>
      </c>
      <c r="K313">
        <v>0</v>
      </c>
      <c r="L313">
        <v>0</v>
      </c>
      <c r="M313">
        <f>0.3*7/H313</f>
        <v>5.9283307161635233E-2</v>
      </c>
      <c r="N313">
        <f>0.3*1.5/H313</f>
        <v>1.2703565820350406E-2</v>
      </c>
      <c r="O313">
        <v>0</v>
      </c>
      <c r="P313">
        <v>0</v>
      </c>
    </row>
    <row r="314" spans="1:16" hidden="1" x14ac:dyDescent="0.25">
      <c r="A314" t="s">
        <v>108</v>
      </c>
      <c r="B314">
        <v>33.405000000000001</v>
      </c>
      <c r="C314">
        <v>-118.416</v>
      </c>
      <c r="D314" t="s">
        <v>1474</v>
      </c>
      <c r="E314" s="5">
        <v>1</v>
      </c>
      <c r="F314" s="7">
        <v>1</v>
      </c>
      <c r="G314">
        <v>12.8</v>
      </c>
      <c r="H314" s="5">
        <f t="shared" si="9"/>
        <v>64.307200000000009</v>
      </c>
      <c r="I314">
        <f>7/H314</f>
        <v>0.10885250796178342</v>
      </c>
      <c r="J314">
        <f>6/H314</f>
        <v>9.3302149681528654E-2</v>
      </c>
      <c r="K314">
        <f>4*5.5/H314</f>
        <v>0.34210788216560506</v>
      </c>
      <c r="L314">
        <f>5*2/H314</f>
        <v>0.15550358280254775</v>
      </c>
      <c r="M314">
        <f>1.5*4/H314</f>
        <v>9.3302149681528654E-2</v>
      </c>
      <c r="N314">
        <f>2.5*4/H314</f>
        <v>0.15550358280254775</v>
      </c>
      <c r="O314">
        <f>5*1.3/H314</f>
        <v>0.10107732882165604</v>
      </c>
      <c r="P314">
        <f>5*4/2/H314</f>
        <v>0.15550358280254775</v>
      </c>
    </row>
    <row r="315" spans="1:16" hidden="1" x14ac:dyDescent="0.25">
      <c r="A315" t="s">
        <v>61</v>
      </c>
      <c r="B315" s="5">
        <v>33.442999999999998</v>
      </c>
      <c r="C315" s="5">
        <v>-111.99</v>
      </c>
      <c r="D315" s="5" t="s">
        <v>1442</v>
      </c>
      <c r="E315" s="5">
        <v>1</v>
      </c>
      <c r="F315" s="7">
        <v>1</v>
      </c>
      <c r="G315">
        <v>10</v>
      </c>
      <c r="H315" s="5">
        <f t="shared" si="9"/>
        <v>39.25</v>
      </c>
      <c r="I315">
        <v>0</v>
      </c>
      <c r="J315">
        <v>0</v>
      </c>
      <c r="K315">
        <v>0</v>
      </c>
      <c r="L315">
        <f>4/H315</f>
        <v>0.10191082802547771</v>
      </c>
      <c r="M315">
        <f>1.5*1.5/H315</f>
        <v>5.7324840764331211E-2</v>
      </c>
      <c r="N315">
        <v>0</v>
      </c>
      <c r="O315">
        <v>0</v>
      </c>
      <c r="P315">
        <v>0</v>
      </c>
    </row>
    <row r="316" spans="1:16" hidden="1" x14ac:dyDescent="0.25">
      <c r="A316" t="s">
        <v>37</v>
      </c>
      <c r="B316" s="5">
        <v>33.454000000000001</v>
      </c>
      <c r="C316" s="5">
        <v>-94.007999999999996</v>
      </c>
      <c r="D316" s="5" t="s">
        <v>1563</v>
      </c>
      <c r="E316" s="5">
        <v>1</v>
      </c>
      <c r="F316" s="7">
        <v>1</v>
      </c>
      <c r="G316">
        <v>11</v>
      </c>
      <c r="H316" s="5">
        <f t="shared" si="9"/>
        <v>47.4925</v>
      </c>
      <c r="I316">
        <v>0</v>
      </c>
      <c r="J316">
        <f>3*4.5/2/H316</f>
        <v>0.14212770437437491</v>
      </c>
      <c r="K316">
        <f>6*4/2/H316</f>
        <v>0.25267147444333315</v>
      </c>
      <c r="L316">
        <f>3*3/2/H316</f>
        <v>9.4751802916249933E-2</v>
      </c>
      <c r="M316">
        <v>0</v>
      </c>
      <c r="N316">
        <v>0</v>
      </c>
      <c r="O316">
        <v>0</v>
      </c>
      <c r="P316">
        <v>0</v>
      </c>
    </row>
    <row r="317" spans="1:16" hidden="1" x14ac:dyDescent="0.25">
      <c r="A317" t="s">
        <v>916</v>
      </c>
      <c r="B317" s="5">
        <v>33.462000000000003</v>
      </c>
      <c r="C317" s="5">
        <v>-80.858000000000004</v>
      </c>
      <c r="D317" s="5" t="s">
        <v>1517</v>
      </c>
      <c r="E317">
        <v>1</v>
      </c>
      <c r="F317" s="7">
        <v>1</v>
      </c>
      <c r="G317">
        <v>11</v>
      </c>
      <c r="H317" s="5">
        <f t="shared" si="9"/>
        <v>47.4925</v>
      </c>
      <c r="I317">
        <f>5*2.5/2/H317</f>
        <v>0.13159972627256936</v>
      </c>
      <c r="J317">
        <f>6.5*3.7/2/H317</f>
        <v>0.25319787334842342</v>
      </c>
      <c r="K317">
        <f>1.5*4/H317</f>
        <v>0.12633573722166658</v>
      </c>
      <c r="L317">
        <f>4*5/2/H317</f>
        <v>0.21055956203611095</v>
      </c>
      <c r="M317">
        <f>8*2.7/2/H317</f>
        <v>0.22740432699899985</v>
      </c>
      <c r="N317">
        <f>5.3*3.3/2/H317</f>
        <v>0.18413433700057902</v>
      </c>
      <c r="O317">
        <v>0</v>
      </c>
      <c r="P317">
        <f>6*3.5/2/H317</f>
        <v>0.22108754013791651</v>
      </c>
    </row>
    <row r="318" spans="1:16" hidden="1" x14ac:dyDescent="0.25">
      <c r="A318" t="s">
        <v>320</v>
      </c>
      <c r="B318" s="5">
        <v>33.466999999999999</v>
      </c>
      <c r="C318" s="5">
        <v>-82.039000000000001</v>
      </c>
      <c r="D318" s="5" t="s">
        <v>1289</v>
      </c>
      <c r="E318" s="5">
        <v>1</v>
      </c>
      <c r="F318" s="7">
        <v>1</v>
      </c>
      <c r="G318">
        <v>11</v>
      </c>
      <c r="H318" s="5">
        <f t="shared" si="9"/>
        <v>47.4925</v>
      </c>
      <c r="I318">
        <f>4.5*4.5/2/H318</f>
        <v>0.21319155656156236</v>
      </c>
      <c r="J318">
        <v>0</v>
      </c>
      <c r="K318">
        <f>2.5*2.5/2/H318</f>
        <v>6.5799863136284678E-2</v>
      </c>
      <c r="L318">
        <f>3*7/2/H318</f>
        <v>0.22108754013791651</v>
      </c>
      <c r="M318">
        <f>2.5/H318</f>
        <v>5.2639890509027738E-2</v>
      </c>
      <c r="N318">
        <f>3.5*5.5/2/H318</f>
        <v>0.2026635784597568</v>
      </c>
      <c r="O318">
        <f>7*6/2/H318</f>
        <v>0.44217508027583302</v>
      </c>
      <c r="P318">
        <f>5*2.5/2/H318</f>
        <v>0.13159972627256936</v>
      </c>
    </row>
    <row r="319" spans="1:16" hidden="1" x14ac:dyDescent="0.25">
      <c r="A319" t="s">
        <v>593</v>
      </c>
      <c r="B319" s="5">
        <v>33.482999999999997</v>
      </c>
      <c r="C319" s="5">
        <v>-90.986000000000004</v>
      </c>
      <c r="D319" s="5" t="s">
        <v>1337</v>
      </c>
      <c r="E319" s="5">
        <v>1</v>
      </c>
      <c r="F319" s="7">
        <v>0</v>
      </c>
      <c r="G319">
        <f>22.2/2</f>
        <v>11.1</v>
      </c>
      <c r="H319" s="5">
        <f t="shared" si="9"/>
        <v>48.359924999999997</v>
      </c>
      <c r="I319">
        <v>0</v>
      </c>
      <c r="J319">
        <v>0</v>
      </c>
      <c r="K319">
        <v>0</v>
      </c>
      <c r="L319">
        <v>0</v>
      </c>
      <c r="M319">
        <v>0</v>
      </c>
      <c r="N319">
        <f>0.3/H319</f>
        <v>6.2034835661965975E-3</v>
      </c>
      <c r="O319">
        <f>1/H319</f>
        <v>2.0678278553988662E-2</v>
      </c>
      <c r="P319">
        <v>0</v>
      </c>
    </row>
    <row r="320" spans="1:16" hidden="1" x14ac:dyDescent="0.25">
      <c r="A320" t="s">
        <v>595</v>
      </c>
      <c r="B320" s="5">
        <v>33.496000000000002</v>
      </c>
      <c r="C320" s="5">
        <v>-90.084000000000003</v>
      </c>
      <c r="D320" s="5" t="s">
        <v>1339</v>
      </c>
      <c r="E320" s="5">
        <v>1</v>
      </c>
      <c r="F320" s="7">
        <v>0</v>
      </c>
      <c r="G320">
        <v>12</v>
      </c>
      <c r="H320" s="5">
        <f t="shared" si="9"/>
        <v>56.519999999999996</v>
      </c>
      <c r="I320">
        <v>0</v>
      </c>
      <c r="J320">
        <v>0</v>
      </c>
      <c r="K320">
        <f>7/H320</f>
        <v>0.12384996461429583</v>
      </c>
      <c r="L320">
        <f>2/H320</f>
        <v>3.5385704175513094E-2</v>
      </c>
      <c r="M320">
        <f>8/H320</f>
        <v>0.14154281670205238</v>
      </c>
      <c r="N320">
        <v>0</v>
      </c>
      <c r="O320" s="5">
        <v>0</v>
      </c>
      <c r="P320" s="5">
        <v>0</v>
      </c>
    </row>
    <row r="321" spans="1:16" hidden="1" x14ac:dyDescent="0.25">
      <c r="A321" t="s">
        <v>63</v>
      </c>
      <c r="B321" s="5">
        <v>33.534999999999997</v>
      </c>
      <c r="C321" s="5">
        <v>-112.383</v>
      </c>
      <c r="D321" s="5" t="s">
        <v>1444</v>
      </c>
      <c r="E321" s="5">
        <v>1</v>
      </c>
      <c r="F321" s="7">
        <v>0</v>
      </c>
      <c r="G321">
        <f>24.6/2</f>
        <v>12.3</v>
      </c>
      <c r="H321" s="5">
        <f t="shared" si="9"/>
        <v>59.381325000000011</v>
      </c>
      <c r="I321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</row>
    <row r="322" spans="1:16" hidden="1" x14ac:dyDescent="0.25">
      <c r="A322" t="s">
        <v>18</v>
      </c>
      <c r="B322" s="5">
        <v>33.564</v>
      </c>
      <c r="C322" s="5">
        <v>-86.754000000000005</v>
      </c>
      <c r="D322" s="5" t="s">
        <v>1323</v>
      </c>
      <c r="E322">
        <v>1</v>
      </c>
      <c r="F322" s="7">
        <v>1</v>
      </c>
      <c r="G322">
        <v>12</v>
      </c>
      <c r="H322" s="5">
        <f t="shared" si="9"/>
        <v>56.519999999999996</v>
      </c>
      <c r="I322">
        <v>0</v>
      </c>
      <c r="J322">
        <f>2.5*4/2/H322</f>
        <v>8.8464260438782735E-2</v>
      </c>
      <c r="K322">
        <f>3*8/2/H322</f>
        <v>0.21231422505307856</v>
      </c>
      <c r="L322">
        <f>7.5*5/2/H322</f>
        <v>0.33174097664543528</v>
      </c>
      <c r="M322">
        <f>5*6/2/H322</f>
        <v>0.26539278131634819</v>
      </c>
      <c r="N322">
        <v>0</v>
      </c>
      <c r="O322">
        <v>0</v>
      </c>
      <c r="P322">
        <v>0</v>
      </c>
    </row>
    <row r="323" spans="1:16" hidden="1" x14ac:dyDescent="0.25">
      <c r="A323" t="s">
        <v>20</v>
      </c>
      <c r="B323" s="5">
        <v>33.588000000000001</v>
      </c>
      <c r="C323" s="5">
        <v>-85.858000000000004</v>
      </c>
      <c r="D323" s="5" t="s">
        <v>1325</v>
      </c>
      <c r="E323">
        <v>1</v>
      </c>
      <c r="F323" s="7">
        <v>1</v>
      </c>
      <c r="G323">
        <f>23/2</f>
        <v>11.5</v>
      </c>
      <c r="H323" s="5">
        <f t="shared" si="9"/>
        <v>51.908124999999998</v>
      </c>
      <c r="I323">
        <f>3*3.5/2/H323</f>
        <v>0.10114023575307335</v>
      </c>
      <c r="J323">
        <f>10*4/2/H323</f>
        <v>0.38529613620218417</v>
      </c>
      <c r="K323">
        <f>7*4.5/2/H323</f>
        <v>0.30342070725922005</v>
      </c>
      <c r="L323">
        <f>4.5*7.5/2/H323</f>
        <v>0.32509361492059291</v>
      </c>
      <c r="M323">
        <f>5/H323</f>
        <v>9.6324034050546042E-2</v>
      </c>
      <c r="N323">
        <v>0</v>
      </c>
      <c r="O323">
        <f>3*2.4/H323</f>
        <v>0.13870660903278628</v>
      </c>
      <c r="P323">
        <f>3*3.7/2/H323</f>
        <v>0.10691967779610612</v>
      </c>
    </row>
    <row r="324" spans="1:16" hidden="1" x14ac:dyDescent="0.25">
      <c r="A324" t="s">
        <v>1037</v>
      </c>
      <c r="B324" s="5">
        <v>33.6</v>
      </c>
      <c r="C324" s="5">
        <v>-102.05</v>
      </c>
      <c r="D324" s="5" t="s">
        <v>1421</v>
      </c>
      <c r="E324">
        <v>1</v>
      </c>
      <c r="F324" s="7">
        <v>0</v>
      </c>
      <c r="G324">
        <v>11</v>
      </c>
      <c r="H324" s="5">
        <f t="shared" si="9"/>
        <v>47.4925</v>
      </c>
      <c r="I324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</row>
    <row r="325" spans="1:16" hidden="1" x14ac:dyDescent="0.25">
      <c r="A325" t="s">
        <v>197</v>
      </c>
      <c r="B325" s="5">
        <v>33.619</v>
      </c>
      <c r="C325" s="5">
        <v>-114.717</v>
      </c>
      <c r="D325" s="5" t="s">
        <v>2271</v>
      </c>
      <c r="E325">
        <v>1</v>
      </c>
      <c r="F325" s="7">
        <v>0</v>
      </c>
      <c r="G325">
        <f>19.7/2</f>
        <v>9.85</v>
      </c>
      <c r="H325" s="5">
        <f t="shared" si="9"/>
        <v>38.081331249999998</v>
      </c>
      <c r="I32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</row>
    <row r="326" spans="1:16" hidden="1" x14ac:dyDescent="0.25">
      <c r="A326" t="s">
        <v>65</v>
      </c>
      <c r="B326" s="5">
        <v>33.622999999999998</v>
      </c>
      <c r="C326" s="5">
        <v>-111.911</v>
      </c>
      <c r="D326" s="5" t="s">
        <v>1446</v>
      </c>
      <c r="E326" s="5">
        <v>1</v>
      </c>
      <c r="F326" s="7">
        <v>1</v>
      </c>
      <c r="G326">
        <v>11</v>
      </c>
      <c r="H326" s="5">
        <f t="shared" si="9"/>
        <v>47.4925</v>
      </c>
      <c r="I326">
        <f>8.5*4/2/H326</f>
        <v>0.35795125546138862</v>
      </c>
      <c r="J326">
        <v>0</v>
      </c>
      <c r="K326">
        <f>4.5*7/2/H326</f>
        <v>0.33163131020687475</v>
      </c>
      <c r="L326">
        <f>3.5*7.5/2/H326</f>
        <v>0.27635942517239565</v>
      </c>
      <c r="M326">
        <f>5/H326</f>
        <v>0.10527978101805548</v>
      </c>
      <c r="N326">
        <f>1.5*6/2/H326</f>
        <v>9.4751802916249933E-2</v>
      </c>
      <c r="O326">
        <f>2*5.5/H326</f>
        <v>0.23161551823972207</v>
      </c>
      <c r="P326">
        <f>6*4/2/H326</f>
        <v>0.25267147444333315</v>
      </c>
    </row>
    <row r="327" spans="1:16" hidden="1" x14ac:dyDescent="0.25">
      <c r="A327" t="s">
        <v>196</v>
      </c>
      <c r="B327" s="5">
        <v>33.628</v>
      </c>
      <c r="C327" s="5">
        <v>-116.16</v>
      </c>
      <c r="D327" s="5" t="s">
        <v>2270</v>
      </c>
      <c r="E327" s="5">
        <v>1</v>
      </c>
      <c r="F327" s="7">
        <v>0</v>
      </c>
      <c r="G327">
        <v>11</v>
      </c>
      <c r="H327" s="5">
        <f t="shared" si="9"/>
        <v>47.4925</v>
      </c>
      <c r="I327">
        <f>3*5.5/2/H327</f>
        <v>0.17371163867979156</v>
      </c>
      <c r="J327">
        <f>4.5*1.5/2/H327</f>
        <v>7.1063852187187457E-2</v>
      </c>
      <c r="K327">
        <f>0.4/H327</f>
        <v>8.422382481444439E-3</v>
      </c>
      <c r="L327">
        <f>0.4/H327</f>
        <v>8.422382481444439E-3</v>
      </c>
      <c r="M327">
        <f>4.5/H327</f>
        <v>9.4751802916249933E-2</v>
      </c>
      <c r="N327">
        <f>1/H327</f>
        <v>2.1055956203611097E-2</v>
      </c>
      <c r="O327">
        <f>4*3.5/2/H327</f>
        <v>0.14739169342527766</v>
      </c>
      <c r="P327">
        <f>0.3/H327</f>
        <v>6.3167868610833284E-3</v>
      </c>
    </row>
    <row r="328" spans="1:16" hidden="1" x14ac:dyDescent="0.25">
      <c r="A328" t="s">
        <v>39</v>
      </c>
      <c r="B328" s="5">
        <v>33.637999999999998</v>
      </c>
      <c r="C328" s="5">
        <v>-91.751000000000005</v>
      </c>
      <c r="D328" s="5" t="s">
        <v>1565</v>
      </c>
      <c r="E328" s="5">
        <v>1</v>
      </c>
      <c r="F328" s="7">
        <v>1</v>
      </c>
      <c r="G328">
        <f>23.4/2</f>
        <v>11.7</v>
      </c>
      <c r="H328" s="5">
        <f t="shared" si="9"/>
        <v>53.729324999999996</v>
      </c>
      <c r="I328">
        <v>0.96</v>
      </c>
      <c r="J328">
        <f>1.5*9/2/H328</f>
        <v>0.12562971896631869</v>
      </c>
      <c r="K328">
        <f>3/H328</f>
        <v>5.5835430651697195E-2</v>
      </c>
      <c r="L328">
        <f>3.5/H328</f>
        <v>6.514133576031339E-2</v>
      </c>
      <c r="M328">
        <f>1.75/H328</f>
        <v>3.2570667880156695E-2</v>
      </c>
      <c r="N328">
        <f>7*5.5/2/H328</f>
        <v>0.35827734668172367</v>
      </c>
      <c r="O328">
        <f>9.5*6/2/H328</f>
        <v>0.5304365911911233</v>
      </c>
      <c r="P328">
        <f>9.5*6.5/2/H328</f>
        <v>0.57463964045705029</v>
      </c>
    </row>
    <row r="329" spans="1:16" hidden="1" x14ac:dyDescent="0.25">
      <c r="A329" t="s">
        <v>322</v>
      </c>
      <c r="B329" s="5">
        <v>33.64</v>
      </c>
      <c r="C329" s="5">
        <v>-84.427000000000007</v>
      </c>
      <c r="D329" s="5" t="s">
        <v>1292</v>
      </c>
      <c r="E329" s="5">
        <v>1</v>
      </c>
      <c r="F329" s="7">
        <v>1</v>
      </c>
      <c r="G329">
        <v>10.5</v>
      </c>
      <c r="H329" s="5">
        <f t="shared" si="9"/>
        <v>43.273125</v>
      </c>
      <c r="I329">
        <v>0</v>
      </c>
      <c r="J329">
        <v>0</v>
      </c>
      <c r="K329">
        <f>1.5*3/2/H329</f>
        <v>5.1995320421162096E-2</v>
      </c>
      <c r="L329">
        <f>5/H329</f>
        <v>0.11554515649147132</v>
      </c>
      <c r="M329">
        <v>0</v>
      </c>
      <c r="N329">
        <f>3*1.5/2/H329</f>
        <v>5.1995320421162096E-2</v>
      </c>
      <c r="O329">
        <f>2.5*1.5/2/H329</f>
        <v>4.3329433684301748E-2</v>
      </c>
      <c r="P329">
        <v>0</v>
      </c>
    </row>
    <row r="330" spans="1:16" hidden="1" x14ac:dyDescent="0.25">
      <c r="A330" t="s">
        <v>596</v>
      </c>
      <c r="B330" s="5">
        <v>33.643999999999998</v>
      </c>
      <c r="C330" s="5">
        <v>-88.444000000000003</v>
      </c>
      <c r="D330" t="s">
        <v>1548</v>
      </c>
      <c r="E330">
        <v>1</v>
      </c>
      <c r="F330" s="7">
        <v>1</v>
      </c>
      <c r="G330">
        <f>24.5/2</f>
        <v>12.25</v>
      </c>
      <c r="H330" s="5">
        <f t="shared" si="9"/>
        <v>58.899531250000003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hidden="1" x14ac:dyDescent="0.25">
      <c r="A331" t="s">
        <v>104</v>
      </c>
      <c r="B331" s="1">
        <v>33.667000000000002</v>
      </c>
      <c r="C331" s="1">
        <v>-117.733</v>
      </c>
      <c r="D331" s="1" t="s">
        <v>1191</v>
      </c>
      <c r="E331">
        <v>1</v>
      </c>
      <c r="F331" s="7">
        <v>0</v>
      </c>
      <c r="G331">
        <v>10</v>
      </c>
      <c r="H331" s="5">
        <f t="shared" si="9"/>
        <v>39.25</v>
      </c>
      <c r="I331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</row>
    <row r="332" spans="1:16" hidden="1" x14ac:dyDescent="0.25">
      <c r="A332" t="s">
        <v>1036</v>
      </c>
      <c r="B332" s="5">
        <v>33.667999999999999</v>
      </c>
      <c r="C332" s="5">
        <v>-101.821</v>
      </c>
      <c r="D332" s="5" t="s">
        <v>1420</v>
      </c>
      <c r="E332" s="5">
        <v>1</v>
      </c>
      <c r="F332" s="7">
        <v>0</v>
      </c>
      <c r="G332">
        <v>12</v>
      </c>
      <c r="H332" s="5">
        <f t="shared" si="9"/>
        <v>56.519999999999996</v>
      </c>
      <c r="I332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</row>
    <row r="333" spans="1:16" hidden="1" x14ac:dyDescent="0.25">
      <c r="A333" t="s">
        <v>83</v>
      </c>
      <c r="B333" s="1">
        <v>33.676000000000002</v>
      </c>
      <c r="C333" s="1">
        <v>-117.73099999999999</v>
      </c>
      <c r="D333" s="1" t="s">
        <v>1191</v>
      </c>
      <c r="E333">
        <v>1</v>
      </c>
      <c r="F333" s="7">
        <v>0</v>
      </c>
      <c r="G333" s="5">
        <v>10</v>
      </c>
      <c r="H333" s="5">
        <f t="shared" si="9"/>
        <v>39.25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</row>
    <row r="334" spans="1:16" hidden="1" x14ac:dyDescent="0.25">
      <c r="A334" t="s">
        <v>122</v>
      </c>
      <c r="B334" s="5">
        <v>33.68</v>
      </c>
      <c r="C334" s="5">
        <v>-117.866</v>
      </c>
      <c r="D334" s="5" t="s">
        <v>1488</v>
      </c>
      <c r="E334" s="5">
        <v>1</v>
      </c>
      <c r="F334" s="7">
        <v>1</v>
      </c>
      <c r="G334">
        <f>22.5/2</f>
        <v>11.25</v>
      </c>
      <c r="H334" s="5">
        <f t="shared" si="9"/>
        <v>49.675781250000007</v>
      </c>
      <c r="I334">
        <f>8.5*4/2/H334</f>
        <v>0.34221907682629549</v>
      </c>
      <c r="J334">
        <v>0</v>
      </c>
      <c r="K334">
        <v>0</v>
      </c>
      <c r="L334">
        <v>0</v>
      </c>
      <c r="M334">
        <v>0</v>
      </c>
      <c r="N334">
        <f>3*4.5/2/H334</f>
        <v>0.13588110403397025</v>
      </c>
      <c r="O334">
        <f>5.5*7.5/2/H334</f>
        <v>0.41519226232602024</v>
      </c>
      <c r="P334">
        <f>5*8/2/H334</f>
        <v>0.4026106786191711</v>
      </c>
    </row>
    <row r="335" spans="1:16" hidden="1" x14ac:dyDescent="0.25">
      <c r="A335" t="s">
        <v>924</v>
      </c>
      <c r="B335" s="5">
        <v>33.68</v>
      </c>
      <c r="C335" s="5">
        <v>-78.918000000000006</v>
      </c>
      <c r="D335" s="5" t="s">
        <v>2286</v>
      </c>
      <c r="E335" s="5">
        <v>1</v>
      </c>
      <c r="F335" s="7">
        <v>0</v>
      </c>
      <c r="G335">
        <f>23.5/2</f>
        <v>11.75</v>
      </c>
      <c r="H335" s="5">
        <f t="shared" si="9"/>
        <v>54.189531250000002</v>
      </c>
      <c r="I335">
        <v>0</v>
      </c>
      <c r="J335">
        <v>0</v>
      </c>
      <c r="K335">
        <v>0</v>
      </c>
      <c r="L335">
        <f>2/H335</f>
        <v>3.6907497700489886E-2</v>
      </c>
      <c r="M335">
        <v>0</v>
      </c>
      <c r="N335" s="5">
        <v>0</v>
      </c>
      <c r="O335" s="5">
        <v>0</v>
      </c>
      <c r="P335" s="5">
        <v>0</v>
      </c>
    </row>
    <row r="336" spans="1:16" hidden="1" x14ac:dyDescent="0.25">
      <c r="A336" t="s">
        <v>62</v>
      </c>
      <c r="B336" s="5">
        <v>33.688000000000002</v>
      </c>
      <c r="C336" s="5">
        <v>-112.08199999999999</v>
      </c>
      <c r="D336" s="5" t="s">
        <v>1443</v>
      </c>
      <c r="E336" s="5">
        <v>1</v>
      </c>
      <c r="F336" s="7">
        <v>1</v>
      </c>
      <c r="G336">
        <v>10</v>
      </c>
      <c r="H336" s="5">
        <f t="shared" si="9"/>
        <v>39.25</v>
      </c>
      <c r="I336">
        <v>0</v>
      </c>
      <c r="J336">
        <v>0</v>
      </c>
      <c r="K336">
        <v>0</v>
      </c>
      <c r="L336">
        <v>0</v>
      </c>
      <c r="M336">
        <f>1.5/H336</f>
        <v>3.8216560509554139E-2</v>
      </c>
      <c r="N336">
        <v>0</v>
      </c>
      <c r="O336">
        <v>0</v>
      </c>
      <c r="P336">
        <v>0</v>
      </c>
    </row>
    <row r="337" spans="1:16" hidden="1" x14ac:dyDescent="0.25">
      <c r="A337" t="s">
        <v>119</v>
      </c>
      <c r="B337" s="5">
        <v>33.767000000000003</v>
      </c>
      <c r="C337" s="5">
        <v>-118.167</v>
      </c>
      <c r="D337" s="5" t="s">
        <v>1485</v>
      </c>
      <c r="E337" s="5">
        <v>1</v>
      </c>
      <c r="F337" s="7">
        <v>1</v>
      </c>
      <c r="G337">
        <v>10.75</v>
      </c>
      <c r="H337" s="5">
        <f t="shared" si="9"/>
        <v>45.358281250000005</v>
      </c>
      <c r="I337">
        <v>0</v>
      </c>
      <c r="J337">
        <v>0</v>
      </c>
      <c r="K337">
        <f>3*1.5/H337</f>
        <v>9.9210108407712203E-2</v>
      </c>
      <c r="L337">
        <f>1.4*1.5/H337</f>
        <v>4.6298050590265684E-2</v>
      </c>
      <c r="M337">
        <v>0</v>
      </c>
      <c r="N337">
        <v>0</v>
      </c>
      <c r="O337">
        <v>0</v>
      </c>
      <c r="P337">
        <v>0</v>
      </c>
    </row>
    <row r="338" spans="1:16" hidden="1" x14ac:dyDescent="0.25">
      <c r="A338" t="s">
        <v>323</v>
      </c>
      <c r="B338" s="5">
        <v>33.779000000000003</v>
      </c>
      <c r="C338" s="5">
        <v>-84.521000000000001</v>
      </c>
      <c r="D338" s="5" t="s">
        <v>1293</v>
      </c>
      <c r="E338" s="5">
        <v>1</v>
      </c>
      <c r="F338" s="7">
        <v>1</v>
      </c>
      <c r="G338">
        <f>20.6/2</f>
        <v>10.3</v>
      </c>
      <c r="H338" s="5">
        <f t="shared" si="9"/>
        <v>41.640325000000011</v>
      </c>
      <c r="I338">
        <f>4.5*3/2/H338</f>
        <v>0.1621024811886074</v>
      </c>
      <c r="J338">
        <v>0</v>
      </c>
      <c r="K338">
        <f>6/H338</f>
        <v>0.14409109438987325</v>
      </c>
      <c r="L338">
        <f>3/H338</f>
        <v>7.2045547194936624E-2</v>
      </c>
      <c r="M338">
        <f>4.5*1.1/H338</f>
        <v>0.11887515287164542</v>
      </c>
      <c r="N338">
        <f>(H338-5.5*7.5/2)/H338</f>
        <v>0.5046868630348107</v>
      </c>
      <c r="O338">
        <f>5.5/H338</f>
        <v>0.13208350319071713</v>
      </c>
      <c r="P338">
        <f>2*2.5/H338</f>
        <v>0.12007591199156104</v>
      </c>
    </row>
    <row r="339" spans="1:16" hidden="1" x14ac:dyDescent="0.25">
      <c r="A339" t="s">
        <v>120</v>
      </c>
      <c r="B339" s="5">
        <v>33.79</v>
      </c>
      <c r="C339" s="5">
        <v>-118.05200000000001</v>
      </c>
      <c r="D339" s="5" t="s">
        <v>1486</v>
      </c>
      <c r="E339" s="5">
        <v>1</v>
      </c>
      <c r="F339" s="7">
        <v>0</v>
      </c>
      <c r="G339">
        <f>20.4/2</f>
        <v>10.199999999999999</v>
      </c>
      <c r="H339" s="5">
        <f t="shared" si="9"/>
        <v>40.835699999999996</v>
      </c>
      <c r="I339">
        <f>4/H339</f>
        <v>9.7953506368202339E-2</v>
      </c>
      <c r="J339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>
        <f>5*2.5/2/H339</f>
        <v>0.15305235370031617</v>
      </c>
    </row>
    <row r="340" spans="1:16" hidden="1" x14ac:dyDescent="0.25">
      <c r="A340" t="s">
        <v>925</v>
      </c>
      <c r="B340" s="5">
        <v>33.816000000000003</v>
      </c>
      <c r="C340" s="5">
        <v>-78.721000000000004</v>
      </c>
      <c r="D340" s="5" t="s">
        <v>2287</v>
      </c>
      <c r="E340">
        <v>1</v>
      </c>
      <c r="F340" s="7">
        <v>1</v>
      </c>
      <c r="G340">
        <v>10</v>
      </c>
      <c r="H340" s="5">
        <f t="shared" si="9"/>
        <v>39.25</v>
      </c>
      <c r="I340">
        <f>3*5/2/H340</f>
        <v>0.19108280254777071</v>
      </c>
      <c r="J340">
        <v>0</v>
      </c>
      <c r="K340">
        <f>2/H340</f>
        <v>5.0955414012738856E-2</v>
      </c>
      <c r="L340">
        <f>4*6.5/2/H340</f>
        <v>0.33121019108280253</v>
      </c>
      <c r="M340">
        <f>2/H340</f>
        <v>5.0955414012738856E-2</v>
      </c>
      <c r="N340">
        <f>1/H340</f>
        <v>2.5477707006369428E-2</v>
      </c>
      <c r="O340">
        <f>6.5*6.5/2/H340</f>
        <v>0.53821656050955413</v>
      </c>
      <c r="P340">
        <f>(H340-4*5.5/2)/H340</f>
        <v>0.71974522292993626</v>
      </c>
    </row>
    <row r="341" spans="1:16" hidden="1" x14ac:dyDescent="0.25">
      <c r="A341" t="s">
        <v>118</v>
      </c>
      <c r="B341" s="5">
        <v>33.828000000000003</v>
      </c>
      <c r="C341" s="5">
        <v>-118.163</v>
      </c>
      <c r="D341" s="5" t="s">
        <v>1484</v>
      </c>
      <c r="E341" s="5">
        <v>1</v>
      </c>
      <c r="F341" s="7">
        <v>1</v>
      </c>
      <c r="G341">
        <v>12</v>
      </c>
      <c r="H341" s="5">
        <f t="shared" si="9"/>
        <v>56.519999999999996</v>
      </c>
      <c r="I341">
        <v>0</v>
      </c>
      <c r="J341">
        <v>0</v>
      </c>
      <c r="K341">
        <v>0</v>
      </c>
      <c r="L341">
        <f>3/H341</f>
        <v>5.3078556263269641E-2</v>
      </c>
      <c r="M341">
        <f>3*3/H341</f>
        <v>0.15923566878980894</v>
      </c>
      <c r="N341">
        <f>4.5*7/2/H341</f>
        <v>0.2786624203821656</v>
      </c>
      <c r="O341">
        <f>4.5*4.5/H341/2</f>
        <v>0.17914012738853505</v>
      </c>
      <c r="P341">
        <v>0</v>
      </c>
    </row>
    <row r="342" spans="1:16" hidden="1" x14ac:dyDescent="0.25">
      <c r="A342" t="s">
        <v>93</v>
      </c>
      <c r="B342" s="5">
        <v>33.828000000000003</v>
      </c>
      <c r="C342" s="5">
        <v>-116.505</v>
      </c>
      <c r="D342" s="5" t="s">
        <v>1460</v>
      </c>
      <c r="E342">
        <v>1</v>
      </c>
      <c r="F342" s="7">
        <v>1</v>
      </c>
      <c r="G342">
        <f>23/2</f>
        <v>11.5</v>
      </c>
      <c r="H342" s="5">
        <f t="shared" si="9"/>
        <v>51.908124999999998</v>
      </c>
      <c r="I342">
        <v>0</v>
      </c>
      <c r="J342">
        <v>0</v>
      </c>
      <c r="K342">
        <v>0</v>
      </c>
      <c r="L342">
        <v>0</v>
      </c>
      <c r="M342">
        <v>0</v>
      </c>
      <c r="N342">
        <f>1.2/H342</f>
        <v>2.3117768172131049E-2</v>
      </c>
      <c r="O342">
        <f>9/H342</f>
        <v>0.17338326129098286</v>
      </c>
      <c r="P342">
        <f>5/H342</f>
        <v>9.6324034050546042E-2</v>
      </c>
    </row>
    <row r="343" spans="1:16" hidden="1" x14ac:dyDescent="0.25">
      <c r="A343" t="s">
        <v>121</v>
      </c>
      <c r="B343" s="5">
        <v>33.872</v>
      </c>
      <c r="C343" s="5">
        <v>-117.979</v>
      </c>
      <c r="D343" s="5" t="s">
        <v>1487</v>
      </c>
      <c r="E343">
        <v>1</v>
      </c>
      <c r="F343" s="7">
        <v>1</v>
      </c>
      <c r="G343">
        <f>19.5/2</f>
        <v>9.75</v>
      </c>
      <c r="H343" s="5">
        <f t="shared" si="9"/>
        <v>37.312031250000004</v>
      </c>
      <c r="I343">
        <f>5.5*6.5/2/H343</f>
        <v>0.47906799499156183</v>
      </c>
      <c r="J343">
        <f>5.5*7/2/H343</f>
        <v>0.51591937922168196</v>
      </c>
      <c r="K343">
        <f>3/H343</f>
        <v>8.0403020138443942E-2</v>
      </c>
      <c r="L343">
        <f>6*4/2/H343</f>
        <v>0.32161208055377577</v>
      </c>
      <c r="M343">
        <f>(H343-4.5*5/2)/H343</f>
        <v>0.69848867448083518</v>
      </c>
      <c r="N343">
        <f>(H343-8*2.5/2)/H343</f>
        <v>0.73198993287185354</v>
      </c>
      <c r="O343">
        <f>(H343-3.5*4/2)/H343</f>
        <v>0.81239295301029746</v>
      </c>
      <c r="P343">
        <f>(H343-3*3.8/2)/H343</f>
        <v>0.84723426173695648</v>
      </c>
    </row>
    <row r="344" spans="1:16" hidden="1" x14ac:dyDescent="0.25">
      <c r="A344" t="s">
        <v>324</v>
      </c>
      <c r="B344" s="5">
        <v>33.875</v>
      </c>
      <c r="C344" s="5">
        <v>-84.302000000000007</v>
      </c>
      <c r="D344" s="5" t="s">
        <v>1294</v>
      </c>
      <c r="E344">
        <v>1</v>
      </c>
      <c r="F344" s="7">
        <v>1</v>
      </c>
      <c r="G344">
        <v>10</v>
      </c>
      <c r="H344" s="5">
        <f t="shared" si="9"/>
        <v>39.25</v>
      </c>
      <c r="I344">
        <v>0</v>
      </c>
      <c r="J344">
        <f>4.5*6.5/2/H344</f>
        <v>0.37261146496815284</v>
      </c>
      <c r="K344">
        <f>(H344-3)/H344</f>
        <v>0.92356687898089174</v>
      </c>
      <c r="L344">
        <f>6*5/2/H344</f>
        <v>0.38216560509554143</v>
      </c>
      <c r="M344">
        <f>2/H344</f>
        <v>5.0955414012738856E-2</v>
      </c>
      <c r="N344">
        <v>0</v>
      </c>
      <c r="O344">
        <v>0</v>
      </c>
      <c r="P344">
        <v>0</v>
      </c>
    </row>
    <row r="345" spans="1:16" hidden="1" x14ac:dyDescent="0.25">
      <c r="A345" t="s">
        <v>90</v>
      </c>
      <c r="B345" s="5">
        <v>33.881</v>
      </c>
      <c r="C345" s="5">
        <v>-117.259</v>
      </c>
      <c r="D345" s="5" t="s">
        <v>1457</v>
      </c>
      <c r="E345">
        <v>1</v>
      </c>
      <c r="F345" s="7">
        <v>0</v>
      </c>
      <c r="G345">
        <f>12.5</f>
        <v>12.5</v>
      </c>
      <c r="H345" s="5">
        <f t="shared" si="9"/>
        <v>61.328125</v>
      </c>
      <c r="I34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</row>
    <row r="346" spans="1:16" hidden="1" x14ac:dyDescent="0.25">
      <c r="A346" t="s">
        <v>328</v>
      </c>
      <c r="B346" s="5">
        <v>33.914999999999999</v>
      </c>
      <c r="C346" s="5">
        <v>-84.516000000000005</v>
      </c>
      <c r="D346" s="5" t="s">
        <v>1319</v>
      </c>
      <c r="E346">
        <v>1</v>
      </c>
      <c r="F346" s="7">
        <v>0</v>
      </c>
      <c r="G346">
        <v>10.5</v>
      </c>
      <c r="H346" s="5">
        <f t="shared" si="9"/>
        <v>43.273125</v>
      </c>
      <c r="I346">
        <f>7*7.5/2/H346</f>
        <v>0.60661207158022445</v>
      </c>
      <c r="J346">
        <f>0.5/H346</f>
        <v>1.1554515649147131E-2</v>
      </c>
      <c r="K346">
        <v>0</v>
      </c>
      <c r="L346">
        <v>0</v>
      </c>
      <c r="M346">
        <f>0.4/H346</f>
        <v>9.2436125193177069E-3</v>
      </c>
      <c r="N346">
        <f>1.5/H346</f>
        <v>3.46635469474414E-2</v>
      </c>
      <c r="O346">
        <v>0</v>
      </c>
      <c r="P346">
        <f>6.5*4/2/H346</f>
        <v>0.30041740687782542</v>
      </c>
    </row>
    <row r="347" spans="1:16" hidden="1" x14ac:dyDescent="0.25">
      <c r="A347" t="s">
        <v>914</v>
      </c>
      <c r="B347">
        <v>33.917000000000002</v>
      </c>
      <c r="C347">
        <v>-80.8</v>
      </c>
      <c r="D347" t="s">
        <v>1512</v>
      </c>
      <c r="E347">
        <v>1</v>
      </c>
      <c r="F347" s="7">
        <v>0</v>
      </c>
      <c r="G347">
        <f>11.5</f>
        <v>11.5</v>
      </c>
      <c r="H347" s="5">
        <f t="shared" si="9"/>
        <v>51.908124999999998</v>
      </c>
      <c r="I347">
        <f>3*4/2/H347</f>
        <v>0.11558884086065525</v>
      </c>
      <c r="J347">
        <f>9*5/2/H347</f>
        <v>0.43345815322745718</v>
      </c>
      <c r="K347">
        <v>0</v>
      </c>
      <c r="L347">
        <v>0</v>
      </c>
      <c r="M347">
        <f>4*3/2/H347</f>
        <v>0.11558884086065525</v>
      </c>
      <c r="N347">
        <f>5*0.7/H347</f>
        <v>6.7426823835382232E-2</v>
      </c>
      <c r="O347">
        <f>1.5/H347</f>
        <v>2.8897210215163813E-2</v>
      </c>
      <c r="P347">
        <v>0</v>
      </c>
    </row>
    <row r="348" spans="1:16" hidden="1" x14ac:dyDescent="0.25">
      <c r="A348" t="s">
        <v>117</v>
      </c>
      <c r="B348" s="5">
        <v>33.923000000000002</v>
      </c>
      <c r="C348" s="5">
        <v>-118.334</v>
      </c>
      <c r="D348" s="5" t="s">
        <v>1483</v>
      </c>
      <c r="E348">
        <v>1</v>
      </c>
      <c r="F348" s="7">
        <v>1</v>
      </c>
      <c r="G348">
        <f>22.7/2</f>
        <v>11.35</v>
      </c>
      <c r="H348" s="5">
        <f t="shared" si="9"/>
        <v>50.562831250000002</v>
      </c>
      <c r="I348">
        <f>(H348-3.5*4.5/2)/H348</f>
        <v>0.84425318350819212</v>
      </c>
      <c r="J348">
        <f>9*6/2/H348</f>
        <v>0.53398908511476995</v>
      </c>
      <c r="K348">
        <f>1.5/H348</f>
        <v>2.9666060284153885E-2</v>
      </c>
      <c r="L348">
        <f>4.5*8.5/2/H348</f>
        <v>0.37824226862296201</v>
      </c>
      <c r="M348">
        <f>8*4/2/H348</f>
        <v>0.31643797636430809</v>
      </c>
      <c r="N348">
        <f>6*3.5/2/H348</f>
        <v>0.20766242198907719</v>
      </c>
      <c r="O348">
        <f>7*4/2/H348</f>
        <v>0.27688322931876957</v>
      </c>
      <c r="P348">
        <f>8.5*5.5/2/H348</f>
        <v>0.46229610609473137</v>
      </c>
    </row>
    <row r="349" spans="1:16" hidden="1" x14ac:dyDescent="0.25">
      <c r="A349" t="s">
        <v>116</v>
      </c>
      <c r="B349" s="5">
        <v>33.938000000000002</v>
      </c>
      <c r="C349" s="5">
        <v>-118.40600000000001</v>
      </c>
      <c r="D349" s="5" t="s">
        <v>1482</v>
      </c>
      <c r="E349">
        <v>1</v>
      </c>
      <c r="F349" s="7">
        <v>1</v>
      </c>
      <c r="G349">
        <f>24.5/2</f>
        <v>12.25</v>
      </c>
      <c r="H349" s="5">
        <f t="shared" si="9"/>
        <v>58.899531250000003</v>
      </c>
      <c r="I349">
        <f>2.7*2.5/2/H349</f>
        <v>5.7300965362097001E-2</v>
      </c>
      <c r="J349">
        <v>0</v>
      </c>
      <c r="K349">
        <v>0</v>
      </c>
      <c r="L349">
        <f>4*2.4/2/H349</f>
        <v>8.1494706292760177E-2</v>
      </c>
      <c r="M349">
        <v>0</v>
      </c>
      <c r="N349">
        <v>0</v>
      </c>
      <c r="O349">
        <v>0</v>
      </c>
      <c r="P349">
        <v>0</v>
      </c>
    </row>
    <row r="350" spans="1:16" hidden="1" x14ac:dyDescent="0.25">
      <c r="A350" t="s">
        <v>912</v>
      </c>
      <c r="B350" s="5">
        <v>33.942</v>
      </c>
      <c r="C350" s="5">
        <v>-81.117999999999995</v>
      </c>
      <c r="D350" s="5" t="s">
        <v>1510</v>
      </c>
      <c r="E350" s="5">
        <v>1</v>
      </c>
      <c r="F350" s="7">
        <v>1</v>
      </c>
      <c r="G350">
        <f>10.5</f>
        <v>10.5</v>
      </c>
      <c r="H350" s="5">
        <f t="shared" si="9"/>
        <v>43.273125</v>
      </c>
      <c r="I350">
        <f>(H350-6*6.5/2)/H350</f>
        <v>0.54937388968326184</v>
      </c>
      <c r="J350">
        <f>6*3.5/2/H350</f>
        <v>0.24264482863208978</v>
      </c>
      <c r="K350">
        <v>0</v>
      </c>
      <c r="L350">
        <v>0</v>
      </c>
      <c r="M350">
        <v>0</v>
      </c>
      <c r="N350">
        <f>1/H350</f>
        <v>2.3109031298294263E-2</v>
      </c>
      <c r="O350">
        <v>0</v>
      </c>
      <c r="P350">
        <f>6*3.5/2/H350</f>
        <v>0.24264482863208978</v>
      </c>
    </row>
    <row r="351" spans="1:16" hidden="1" x14ac:dyDescent="0.25">
      <c r="A351" t="s">
        <v>329</v>
      </c>
      <c r="B351" s="5">
        <v>33.948</v>
      </c>
      <c r="C351" s="5">
        <v>-83.326999999999998</v>
      </c>
      <c r="D351" s="5" t="s">
        <v>1516</v>
      </c>
      <c r="E351">
        <v>1</v>
      </c>
      <c r="F351" s="7">
        <v>1</v>
      </c>
      <c r="G351">
        <f>18.5/2</f>
        <v>9.25</v>
      </c>
      <c r="H351" s="5">
        <f t="shared" si="9"/>
        <v>33.583281249999999</v>
      </c>
      <c r="I351">
        <f>2.5/H351</f>
        <v>7.4441802794359177E-2</v>
      </c>
      <c r="J351">
        <v>0</v>
      </c>
      <c r="K351">
        <f>0.3*0.3/H351</f>
        <v>2.6799049005969302E-3</v>
      </c>
      <c r="L351">
        <f>7.5/H351</f>
        <v>0.22332540838307752</v>
      </c>
      <c r="M351">
        <f>(H351-1.5*2/2)/H351</f>
        <v>0.95533491832338446</v>
      </c>
      <c r="N351">
        <f>(H351-1.3*1.4/2)/H351</f>
        <v>0.97290318378285334</v>
      </c>
      <c r="O351">
        <f>5/H351</f>
        <v>0.14888360558871835</v>
      </c>
      <c r="P351">
        <f>3.5*0.8/2/H351</f>
        <v>4.1687409564841141E-2</v>
      </c>
    </row>
    <row r="352" spans="1:16" hidden="1" x14ac:dyDescent="0.25">
      <c r="A352" t="s">
        <v>94</v>
      </c>
      <c r="B352" s="5">
        <v>33.951999999999998</v>
      </c>
      <c r="C352" s="5">
        <v>-117.43899999999999</v>
      </c>
      <c r="D352" s="5" t="s">
        <v>1461</v>
      </c>
      <c r="E352">
        <v>1</v>
      </c>
      <c r="F352" s="7">
        <v>1</v>
      </c>
      <c r="G352">
        <v>12</v>
      </c>
      <c r="H352" s="5">
        <f t="shared" si="9"/>
        <v>56.519999999999996</v>
      </c>
      <c r="I352">
        <f>0.97</f>
        <v>0.97</v>
      </c>
      <c r="J352">
        <f>10*7/2/H352</f>
        <v>0.61924982307147913</v>
      </c>
      <c r="K352">
        <f>8*5/2/H352</f>
        <v>0.35385704175513094</v>
      </c>
      <c r="L352">
        <v>0</v>
      </c>
      <c r="M352">
        <f>2/H352</f>
        <v>3.5385704175513094E-2</v>
      </c>
      <c r="N352">
        <f>0.4/H352</f>
        <v>7.0771408351026199E-3</v>
      </c>
      <c r="O352">
        <f>2/H352</f>
        <v>3.5385704175513094E-2</v>
      </c>
      <c r="P352">
        <f>4*8/2/H352</f>
        <v>0.28308563340410475</v>
      </c>
    </row>
    <row r="353" spans="1:16" hidden="1" x14ac:dyDescent="0.25">
      <c r="A353" t="s">
        <v>1040</v>
      </c>
      <c r="B353">
        <v>33.966999999999999</v>
      </c>
      <c r="C353">
        <v>-98.483000000000004</v>
      </c>
      <c r="D353" t="s">
        <v>1578</v>
      </c>
      <c r="E353">
        <v>1</v>
      </c>
      <c r="F353" s="7">
        <v>1</v>
      </c>
      <c r="G353">
        <f>20.5/2</f>
        <v>10.25</v>
      </c>
      <c r="H353" s="5">
        <f t="shared" si="9"/>
        <v>41.237031250000001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idden="1" x14ac:dyDescent="0.25">
      <c r="A354" t="s">
        <v>913</v>
      </c>
      <c r="B354" s="5">
        <v>33.970999999999997</v>
      </c>
      <c r="C354" s="5">
        <v>-80.995999999999995</v>
      </c>
      <c r="D354" s="5" t="s">
        <v>1511</v>
      </c>
      <c r="E354" s="5">
        <v>1</v>
      </c>
      <c r="F354" s="7">
        <v>1</v>
      </c>
      <c r="G354">
        <v>11.8</v>
      </c>
      <c r="H354" s="5">
        <f t="shared" si="9"/>
        <v>54.651700000000012</v>
      </c>
      <c r="I354">
        <f>(H354-3*4/2)/H354</f>
        <v>0.89021384513199042</v>
      </c>
      <c r="J354">
        <f>(H354-3.5*4/2)/H354</f>
        <v>0.87191615265398881</v>
      </c>
      <c r="K354">
        <f>(H354-4*5/2)/H354</f>
        <v>0.81702307521998407</v>
      </c>
      <c r="L354">
        <f>6*10.5/2/H354</f>
        <v>0.5763773130570502</v>
      </c>
      <c r="M354">
        <f>1.5/H354</f>
        <v>2.7446538717002391E-2</v>
      </c>
      <c r="N354">
        <f>3.5/H354</f>
        <v>6.4041923673005582E-2</v>
      </c>
      <c r="O354">
        <f>11/H354</f>
        <v>0.20127461725801754</v>
      </c>
      <c r="P354">
        <f>9.5*5/2/H354</f>
        <v>0.43457019635253791</v>
      </c>
    </row>
    <row r="355" spans="1:16" hidden="1" x14ac:dyDescent="0.25">
      <c r="A355" t="s">
        <v>923</v>
      </c>
      <c r="B355" s="5">
        <v>33.972999999999999</v>
      </c>
      <c r="C355" s="5">
        <v>-80.472999999999999</v>
      </c>
      <c r="D355" s="5" t="s">
        <v>2285</v>
      </c>
      <c r="E355">
        <v>1</v>
      </c>
      <c r="F355" s="7">
        <v>0</v>
      </c>
      <c r="G355">
        <v>12.5</v>
      </c>
      <c r="H355" s="5">
        <f t="shared" si="9"/>
        <v>61.328125</v>
      </c>
      <c r="I35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>
        <f>4*10/2/H355</f>
        <v>0.32611464968152865</v>
      </c>
      <c r="P355">
        <f>3*9/2/H355</f>
        <v>0.22012738853503186</v>
      </c>
    </row>
    <row r="356" spans="1:16" hidden="1" x14ac:dyDescent="0.25">
      <c r="A356" t="s">
        <v>99</v>
      </c>
      <c r="B356" s="5">
        <v>33.975000000000001</v>
      </c>
      <c r="C356" s="5">
        <v>-117.636</v>
      </c>
      <c r="D356" s="5" t="s">
        <v>1466</v>
      </c>
      <c r="E356" s="5">
        <v>1</v>
      </c>
      <c r="F356" s="7">
        <v>1</v>
      </c>
      <c r="G356">
        <f>25.5/2</f>
        <v>12.75</v>
      </c>
      <c r="H356" s="5">
        <f t="shared" si="9"/>
        <v>63.805781250000003</v>
      </c>
      <c r="I356">
        <f>2/H356</f>
        <v>3.1345122037824746E-2</v>
      </c>
      <c r="J356">
        <f>3.5/H356</f>
        <v>5.4853963566193306E-2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idden="1" x14ac:dyDescent="0.25">
      <c r="A357" t="s">
        <v>1039</v>
      </c>
      <c r="B357" s="5">
        <v>33.978999999999999</v>
      </c>
      <c r="C357" s="5">
        <v>-98.492999999999995</v>
      </c>
      <c r="D357" s="5" t="s">
        <v>1577</v>
      </c>
      <c r="E357" s="5">
        <v>1</v>
      </c>
      <c r="F357" s="7">
        <v>1</v>
      </c>
      <c r="G357">
        <f>19/2</f>
        <v>9.5</v>
      </c>
      <c r="H357" s="5">
        <f t="shared" si="9"/>
        <v>35.423124999999999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idden="1" x14ac:dyDescent="0.25">
      <c r="A358" t="s">
        <v>96</v>
      </c>
      <c r="B358" s="5">
        <v>34.015999999999998</v>
      </c>
      <c r="C358" s="5">
        <v>-118.45099999999999</v>
      </c>
      <c r="D358" t="s">
        <v>1463</v>
      </c>
      <c r="E358">
        <v>1</v>
      </c>
      <c r="F358" s="7">
        <v>1</v>
      </c>
      <c r="G358">
        <v>10.5</v>
      </c>
      <c r="H358" s="5">
        <f t="shared" si="9"/>
        <v>43.273125</v>
      </c>
      <c r="I358">
        <f>8/H358</f>
        <v>0.1848722503863541</v>
      </c>
      <c r="J358">
        <f>5*6/2/H358</f>
        <v>0.34663546947441398</v>
      </c>
      <c r="K358">
        <f>5.5*3.5/2/H358</f>
        <v>0.2224244262460823</v>
      </c>
      <c r="L358">
        <f>5.5*5/2/H358</f>
        <v>0.31774918035154615</v>
      </c>
      <c r="M358">
        <f>1.5/H358</f>
        <v>3.46635469474414E-2</v>
      </c>
      <c r="N358">
        <f>5/H358</f>
        <v>0.11554515649147132</v>
      </c>
      <c r="O358">
        <f>4.5*6.5/2/H358</f>
        <v>0.33796958273755362</v>
      </c>
      <c r="P358">
        <f>8*7/2/H358</f>
        <v>0.6470528763522394</v>
      </c>
    </row>
    <row r="359" spans="1:16" hidden="1" x14ac:dyDescent="0.25">
      <c r="A359" t="s">
        <v>48</v>
      </c>
      <c r="B359" s="5">
        <v>34.046999999999997</v>
      </c>
      <c r="C359" s="5">
        <v>-94.399000000000001</v>
      </c>
      <c r="D359" s="5" t="s">
        <v>2226</v>
      </c>
      <c r="E359">
        <v>1</v>
      </c>
      <c r="F359" s="7">
        <v>1</v>
      </c>
      <c r="G359">
        <f>22.5/2</f>
        <v>11.25</v>
      </c>
      <c r="H359" s="5">
        <f t="shared" si="9"/>
        <v>49.675781250000007</v>
      </c>
      <c r="I359">
        <f>7/H359</f>
        <v>0.14091373751670991</v>
      </c>
      <c r="J359">
        <v>0</v>
      </c>
      <c r="K359">
        <v>0</v>
      </c>
      <c r="L359">
        <f>3*3/2/H359</f>
        <v>9.0587402689313506E-2</v>
      </c>
      <c r="M359">
        <f>(H359-6*6.5/2)/H359</f>
        <v>0.60745458834630817</v>
      </c>
      <c r="N359">
        <f>5*3/2/H359</f>
        <v>0.15097900448218918</v>
      </c>
      <c r="O359">
        <f>2.5/H359</f>
        <v>5.0326334827396388E-2</v>
      </c>
      <c r="P359">
        <f>5/H359</f>
        <v>0.10065266965479278</v>
      </c>
    </row>
    <row r="360" spans="1:16" hidden="1" x14ac:dyDescent="0.25">
      <c r="A360" t="s">
        <v>193</v>
      </c>
      <c r="B360" s="1">
        <v>34.049999999999997</v>
      </c>
      <c r="C360" s="1">
        <v>-117.56699999999999</v>
      </c>
      <c r="D360" s="1" t="s">
        <v>1458</v>
      </c>
      <c r="E360">
        <v>1</v>
      </c>
      <c r="F360" s="7">
        <v>1</v>
      </c>
      <c r="G360">
        <f>20.5/2</f>
        <v>10.25</v>
      </c>
      <c r="H360" s="5">
        <f t="shared" si="9"/>
        <v>41.237031250000001</v>
      </c>
      <c r="I360">
        <v>0</v>
      </c>
      <c r="J360">
        <v>0</v>
      </c>
      <c r="K360">
        <v>0</v>
      </c>
      <c r="L360">
        <f>4*3.5/2/H360</f>
        <v>0.16975033817450183</v>
      </c>
      <c r="M360">
        <v>0</v>
      </c>
      <c r="N360">
        <v>0</v>
      </c>
      <c r="O360">
        <v>0</v>
      </c>
      <c r="P360">
        <v>0</v>
      </c>
    </row>
    <row r="361" spans="1:16" hidden="1" x14ac:dyDescent="0.25">
      <c r="A361" t="s">
        <v>91</v>
      </c>
      <c r="B361" s="1">
        <v>34.067</v>
      </c>
      <c r="C361" s="1">
        <v>-117.65</v>
      </c>
      <c r="D361" s="1" t="s">
        <v>1458</v>
      </c>
      <c r="E361">
        <v>1</v>
      </c>
      <c r="F361" s="7">
        <v>1</v>
      </c>
      <c r="G361">
        <f>20.5/2</f>
        <v>10.25</v>
      </c>
      <c r="H361" s="5">
        <f t="shared" si="9"/>
        <v>41.237031250000001</v>
      </c>
      <c r="I361">
        <v>0</v>
      </c>
      <c r="J361">
        <v>0</v>
      </c>
      <c r="K361">
        <v>0</v>
      </c>
      <c r="L361">
        <f>4*3.5/2/H361</f>
        <v>0.16975033817450183</v>
      </c>
      <c r="M361">
        <v>0</v>
      </c>
      <c r="N361">
        <v>0</v>
      </c>
      <c r="O361">
        <v>0</v>
      </c>
      <c r="P361">
        <v>0</v>
      </c>
    </row>
    <row r="362" spans="1:16" hidden="1" x14ac:dyDescent="0.25">
      <c r="A362" t="s">
        <v>92</v>
      </c>
      <c r="B362" s="5">
        <v>34.082999999999998</v>
      </c>
      <c r="C362" s="5">
        <v>-117.233</v>
      </c>
      <c r="D362" s="5" t="s">
        <v>1459</v>
      </c>
      <c r="E362">
        <v>1</v>
      </c>
      <c r="F362" s="7">
        <v>0</v>
      </c>
      <c r="G362">
        <f>24.5/2</f>
        <v>12.25</v>
      </c>
      <c r="H362" s="5">
        <f t="shared" si="9"/>
        <v>58.899531250000003</v>
      </c>
      <c r="I362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</row>
    <row r="363" spans="1:16" hidden="1" x14ac:dyDescent="0.25">
      <c r="A363" t="s">
        <v>139</v>
      </c>
      <c r="B363" s="5">
        <v>34.116999999999997</v>
      </c>
      <c r="C363" s="5">
        <v>-119.117</v>
      </c>
      <c r="D363" s="5" t="s">
        <v>1635</v>
      </c>
      <c r="E363">
        <v>1</v>
      </c>
      <c r="F363" s="7">
        <v>1</v>
      </c>
      <c r="G363">
        <f>24.6/2</f>
        <v>12.3</v>
      </c>
      <c r="H363" s="5">
        <f t="shared" si="9"/>
        <v>59.381325000000011</v>
      </c>
      <c r="I363">
        <f>4.5*1.5/H363</f>
        <v>0.1136721014561396</v>
      </c>
      <c r="J363">
        <f>4.5*1.7/H363</f>
        <v>0.12882838165029153</v>
      </c>
      <c r="K363">
        <v>0</v>
      </c>
      <c r="L363">
        <f>1/H363</f>
        <v>1.6840311326835496E-2</v>
      </c>
      <c r="M363">
        <f>1.5/H363</f>
        <v>2.5260466990253243E-2</v>
      </c>
      <c r="N363">
        <f>3/H363</f>
        <v>5.0520933980506486E-2</v>
      </c>
      <c r="O363">
        <f>5.5/H363</f>
        <v>9.2621712297595235E-2</v>
      </c>
      <c r="P363">
        <f>3.5/H363</f>
        <v>5.8941089643924235E-2</v>
      </c>
    </row>
    <row r="364" spans="1:16" hidden="1" x14ac:dyDescent="0.25">
      <c r="A364" t="s">
        <v>314</v>
      </c>
      <c r="B364" s="5">
        <v>34.122999999999998</v>
      </c>
      <c r="C364" s="5">
        <v>-84.849000000000004</v>
      </c>
      <c r="D364" s="5" t="s">
        <v>1280</v>
      </c>
      <c r="E364">
        <v>1</v>
      </c>
      <c r="F364" s="7">
        <v>1</v>
      </c>
      <c r="G364">
        <v>12.5</v>
      </c>
      <c r="H364" s="5">
        <f t="shared" si="9"/>
        <v>61.328125</v>
      </c>
      <c r="I364">
        <f>2.5*4/H364</f>
        <v>0.16305732484076432</v>
      </c>
      <c r="J364">
        <f>0.8*8/H364</f>
        <v>0.10435668789808918</v>
      </c>
      <c r="K364">
        <f>8.5*9/2/H364</f>
        <v>0.62369426751592361</v>
      </c>
      <c r="L364">
        <f>9*6/2/H364</f>
        <v>0.44025477707006372</v>
      </c>
      <c r="M364">
        <f>9.5*5/2/H364</f>
        <v>0.38726114649681531</v>
      </c>
      <c r="N364">
        <f>10*7.5/2/H364</f>
        <v>0.61146496815286622</v>
      </c>
      <c r="O364">
        <f>9*9.5/2/H364</f>
        <v>0.69707006369426749</v>
      </c>
      <c r="P364">
        <f>8*8/2/H364</f>
        <v>0.52178343949044581</v>
      </c>
    </row>
    <row r="365" spans="1:16" hidden="1" x14ac:dyDescent="0.25">
      <c r="A365" t="s">
        <v>36</v>
      </c>
      <c r="B365" s="5">
        <v>34.174999999999997</v>
      </c>
      <c r="C365" s="5">
        <v>-91.935000000000002</v>
      </c>
      <c r="D365" s="5" t="s">
        <v>1562</v>
      </c>
      <c r="E365">
        <v>1</v>
      </c>
      <c r="F365" s="7">
        <v>0</v>
      </c>
      <c r="G365">
        <v>10</v>
      </c>
      <c r="H365" s="5">
        <f t="shared" si="9"/>
        <v>39.25</v>
      </c>
      <c r="I365">
        <v>0</v>
      </c>
      <c r="J365">
        <v>0</v>
      </c>
      <c r="K365">
        <v>0</v>
      </c>
      <c r="L365">
        <v>0</v>
      </c>
      <c r="M365">
        <v>0</v>
      </c>
      <c r="N365">
        <f>2/H365</f>
        <v>5.0955414012738856E-2</v>
      </c>
      <c r="O365">
        <f>3/H365</f>
        <v>7.6433121019108277E-2</v>
      </c>
      <c r="P365">
        <f>1.5*4.5/H365</f>
        <v>0.17197452229299362</v>
      </c>
    </row>
    <row r="366" spans="1:16" hidden="1" x14ac:dyDescent="0.25">
      <c r="A366" t="s">
        <v>915</v>
      </c>
      <c r="B366" s="5">
        <v>34.188000000000002</v>
      </c>
      <c r="C366" s="5">
        <v>-79.730999999999995</v>
      </c>
      <c r="D366" s="5" t="s">
        <v>1513</v>
      </c>
      <c r="E366">
        <v>1</v>
      </c>
      <c r="F366" s="7">
        <v>1</v>
      </c>
      <c r="G366">
        <f>23.5/2</f>
        <v>11.75</v>
      </c>
      <c r="H366" s="5">
        <f t="shared" si="9"/>
        <v>54.189531250000002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f>4/H366</f>
        <v>7.3814995400979772E-2</v>
      </c>
      <c r="P366">
        <f>2.5/H366</f>
        <v>4.6134372125612361E-2</v>
      </c>
    </row>
    <row r="367" spans="1:16" hidden="1" x14ac:dyDescent="0.25">
      <c r="A367" t="s">
        <v>142</v>
      </c>
      <c r="B367">
        <v>34.201000000000001</v>
      </c>
      <c r="C367">
        <v>-119.206</v>
      </c>
      <c r="D367" t="s">
        <v>1638</v>
      </c>
      <c r="E367" s="5">
        <v>1</v>
      </c>
      <c r="F367" s="7">
        <v>1</v>
      </c>
      <c r="G367">
        <v>12.5</v>
      </c>
      <c r="H367" s="5">
        <f t="shared" si="9"/>
        <v>61.328125</v>
      </c>
      <c r="I367">
        <f>2.5*2.5/H367</f>
        <v>0.10191082802547771</v>
      </c>
      <c r="J367">
        <f>3*4.5/2/H367</f>
        <v>0.11006369426751593</v>
      </c>
      <c r="K367">
        <v>0</v>
      </c>
      <c r="L367">
        <f>4*2.5/H367</f>
        <v>0.16305732484076432</v>
      </c>
      <c r="M367">
        <f>4*4/2/H367</f>
        <v>0.13044585987261145</v>
      </c>
      <c r="N367">
        <f>3*4.3/2/H367</f>
        <v>0.10517197452229299</v>
      </c>
      <c r="O367">
        <f>1.5/H367</f>
        <v>2.4458598726114649E-2</v>
      </c>
      <c r="P367">
        <f>3*4/2/H367</f>
        <v>9.7834394904458596E-2</v>
      </c>
    </row>
    <row r="368" spans="1:16" hidden="1" x14ac:dyDescent="0.25">
      <c r="A368" t="s">
        <v>95</v>
      </c>
      <c r="B368" s="5">
        <v>34.201000000000001</v>
      </c>
      <c r="C368" s="5">
        <v>-118.35899999999999</v>
      </c>
      <c r="D368" s="5" t="s">
        <v>1462</v>
      </c>
      <c r="E368" s="5">
        <v>1</v>
      </c>
      <c r="F368" s="7">
        <v>0</v>
      </c>
      <c r="G368">
        <v>12</v>
      </c>
      <c r="H368" s="5">
        <f t="shared" si="9"/>
        <v>56.519999999999996</v>
      </c>
      <c r="I368">
        <v>0</v>
      </c>
      <c r="J368">
        <f>0.5/H368</f>
        <v>8.8464260438782735E-3</v>
      </c>
      <c r="K368">
        <f>0.8/H368</f>
        <v>1.415428167020524E-2</v>
      </c>
      <c r="L368">
        <f>6.5/H368</f>
        <v>0.11500353857041756</v>
      </c>
      <c r="M368">
        <f>2/H368</f>
        <v>3.5385704175513094E-2</v>
      </c>
      <c r="N368">
        <f>6*4/2/H368</f>
        <v>0.21231422505307856</v>
      </c>
      <c r="O368">
        <v>0</v>
      </c>
      <c r="P368">
        <f>4.5*3/2/H368</f>
        <v>0.1194267515923567</v>
      </c>
    </row>
    <row r="369" spans="1:16" hidden="1" x14ac:dyDescent="0.25">
      <c r="A369" t="s">
        <v>97</v>
      </c>
      <c r="B369" s="5">
        <v>34.21</v>
      </c>
      <c r="C369" s="5">
        <v>-118.489</v>
      </c>
      <c r="D369" s="5" t="s">
        <v>1464</v>
      </c>
      <c r="E369" s="5">
        <v>1</v>
      </c>
      <c r="F369" s="7">
        <v>1</v>
      </c>
      <c r="G369">
        <f>23.5/2</f>
        <v>11.75</v>
      </c>
      <c r="H369" s="5">
        <f t="shared" ref="H369:H432" si="10">3.14*G369*G369/8</f>
        <v>54.189531250000002</v>
      </c>
      <c r="I369">
        <v>0</v>
      </c>
      <c r="J369">
        <f>3.3*4/2/H369</f>
        <v>0.12179474241161663</v>
      </c>
      <c r="K369">
        <f>4*3.7/2/H369</f>
        <v>0.1365577414918126</v>
      </c>
      <c r="L369">
        <v>0</v>
      </c>
      <c r="M369">
        <f>3.6*4.6/2/H369</f>
        <v>0.15279704048002812</v>
      </c>
      <c r="N369">
        <f>12*6.5/2/H369</f>
        <v>0.71969620515955279</v>
      </c>
      <c r="O369">
        <f>12*8/2/H369</f>
        <v>0.88577994481175737</v>
      </c>
      <c r="P369">
        <f>7.5*8.5/2/H369</f>
        <v>0.58821324460155755</v>
      </c>
    </row>
    <row r="370" spans="1:16" hidden="1" x14ac:dyDescent="0.25">
      <c r="A370" t="s">
        <v>840</v>
      </c>
      <c r="B370">
        <v>34.210999999999999</v>
      </c>
      <c r="C370">
        <v>-97.167000000000002</v>
      </c>
      <c r="D370" s="5" t="s">
        <v>1591</v>
      </c>
      <c r="E370" s="5">
        <v>1</v>
      </c>
      <c r="F370" s="7">
        <v>1</v>
      </c>
      <c r="G370">
        <v>10.5</v>
      </c>
      <c r="H370" s="5">
        <f t="shared" si="10"/>
        <v>43.273125</v>
      </c>
      <c r="I370">
        <v>0</v>
      </c>
      <c r="J370">
        <f>4.5*2.5/H370</f>
        <v>0.25997660210581047</v>
      </c>
      <c r="K370">
        <f>1.8*1.4/H370</f>
        <v>5.8234758871701549E-2</v>
      </c>
      <c r="L370">
        <f>8.5*5.5/2/H370</f>
        <v>0.54017360659762848</v>
      </c>
      <c r="M370">
        <f>(H370-(2.5*4+6.5*2.5)/2)/H370</f>
        <v>0.69669396420988783</v>
      </c>
      <c r="N370">
        <f>(4*3.5+2*1.8)/H370</f>
        <v>0.40671895084997911</v>
      </c>
      <c r="O370">
        <f>6/H370</f>
        <v>0.1386541877897656</v>
      </c>
      <c r="P370">
        <v>0</v>
      </c>
    </row>
    <row r="371" spans="1:16" hidden="1" x14ac:dyDescent="0.25">
      <c r="A371" t="s">
        <v>141</v>
      </c>
      <c r="B371" s="5">
        <v>34.216999999999999</v>
      </c>
      <c r="C371" s="5">
        <v>-119.083</v>
      </c>
      <c r="D371" s="5" t="s">
        <v>1637</v>
      </c>
      <c r="E371" s="5">
        <v>1</v>
      </c>
      <c r="F371" s="7">
        <v>1</v>
      </c>
      <c r="G371">
        <f>23/2</f>
        <v>11.5</v>
      </c>
      <c r="H371" s="5">
        <f t="shared" si="10"/>
        <v>51.908124999999998</v>
      </c>
      <c r="I371">
        <f>4/H371</f>
        <v>7.7059227240436831E-2</v>
      </c>
      <c r="J371">
        <v>0</v>
      </c>
      <c r="K371">
        <f>1/H371</f>
        <v>1.9264806810109208E-2</v>
      </c>
      <c r="L371">
        <f>3.5*3/H371</f>
        <v>0.2022804715061467</v>
      </c>
      <c r="M371">
        <f>4/H371</f>
        <v>7.7059227240436831E-2</v>
      </c>
      <c r="N371">
        <f>1.7/H371</f>
        <v>3.2750171577185655E-2</v>
      </c>
      <c r="O371">
        <f>3/H371</f>
        <v>5.7794420430327627E-2</v>
      </c>
      <c r="P371">
        <v>0</v>
      </c>
    </row>
    <row r="372" spans="1:16" hidden="1" x14ac:dyDescent="0.25">
      <c r="A372" t="s">
        <v>921</v>
      </c>
      <c r="B372" s="5">
        <v>34.249000000000002</v>
      </c>
      <c r="C372" s="5">
        <v>-82.159000000000006</v>
      </c>
      <c r="D372" s="5" t="s">
        <v>1522</v>
      </c>
      <c r="E372">
        <v>1</v>
      </c>
      <c r="F372" s="7">
        <v>1</v>
      </c>
      <c r="G372">
        <f>19.5/2</f>
        <v>9.75</v>
      </c>
      <c r="H372" s="5">
        <f t="shared" si="10"/>
        <v>37.312031250000004</v>
      </c>
      <c r="I372">
        <f>4.5*4.3/2/H372</f>
        <v>0.2592997399464817</v>
      </c>
      <c r="J372">
        <f>5*4.5/2/H372</f>
        <v>0.30151132551916476</v>
      </c>
      <c r="K372">
        <f>5*6/2/H372</f>
        <v>0.40201510069221968</v>
      </c>
      <c r="L372">
        <f>3.5*4.5/2/H372</f>
        <v>0.21105792786341535</v>
      </c>
      <c r="M372">
        <v>0</v>
      </c>
      <c r="N372">
        <v>0</v>
      </c>
      <c r="O372">
        <f>5*8/2/H372</f>
        <v>0.53602013425629291</v>
      </c>
      <c r="P372">
        <f>(H372-4*5/2)/H372</f>
        <v>0.73198993287185354</v>
      </c>
    </row>
    <row r="373" spans="1:16" hidden="1" x14ac:dyDescent="0.25">
      <c r="A373" t="s">
        <v>597</v>
      </c>
      <c r="B373" s="5">
        <v>34.261000000000003</v>
      </c>
      <c r="C373" s="5">
        <v>-88.771000000000001</v>
      </c>
      <c r="D373" s="5" t="s">
        <v>1549</v>
      </c>
      <c r="E373" s="5">
        <v>1</v>
      </c>
      <c r="F373" s="7">
        <v>1</v>
      </c>
      <c r="G373">
        <f>24.5/2</f>
        <v>12.25</v>
      </c>
      <c r="H373" s="5">
        <f t="shared" si="10"/>
        <v>58.899531250000003</v>
      </c>
      <c r="I373">
        <v>0</v>
      </c>
      <c r="J373">
        <f>2/H373</f>
        <v>3.3956127621983405E-2</v>
      </c>
      <c r="K373">
        <f>2.5*10/2/H373</f>
        <v>0.2122257976373963</v>
      </c>
      <c r="L373">
        <v>0</v>
      </c>
      <c r="M373">
        <v>0</v>
      </c>
      <c r="N373">
        <f>7.5*4/2/H373</f>
        <v>0.25467095716487553</v>
      </c>
      <c r="O373">
        <f>10*9/2/H373</f>
        <v>0.76401287149462671</v>
      </c>
      <c r="P373">
        <f>8*6/2/H373</f>
        <v>0.40747353146380089</v>
      </c>
    </row>
    <row r="374" spans="1:16" hidden="1" x14ac:dyDescent="0.25">
      <c r="A374" t="s">
        <v>74</v>
      </c>
      <c r="B374" s="5">
        <v>34.265000000000001</v>
      </c>
      <c r="C374" s="5">
        <v>-110.006</v>
      </c>
      <c r="D374" s="5" t="s">
        <v>1616</v>
      </c>
      <c r="E374" s="5">
        <v>1</v>
      </c>
      <c r="F374" s="7">
        <v>1</v>
      </c>
      <c r="G374">
        <f>22.3/2</f>
        <v>11.15</v>
      </c>
      <c r="H374" s="5">
        <f t="shared" si="10"/>
        <v>48.796581250000003</v>
      </c>
      <c r="I374">
        <f>9/H374</f>
        <v>0.18443915064234134</v>
      </c>
      <c r="J374">
        <f>8.5/H374</f>
        <v>0.17419253116221128</v>
      </c>
      <c r="K374">
        <f>0.3/H374</f>
        <v>6.1479716880780445E-3</v>
      </c>
      <c r="L374">
        <v>0</v>
      </c>
      <c r="M374">
        <v>0</v>
      </c>
      <c r="N374">
        <v>0</v>
      </c>
      <c r="O374">
        <v>0</v>
      </c>
      <c r="P374">
        <f>4/H374</f>
        <v>8.1972955841040598E-2</v>
      </c>
    </row>
    <row r="375" spans="1:16" hidden="1" x14ac:dyDescent="0.25">
      <c r="A375" t="s">
        <v>622</v>
      </c>
      <c r="B375" s="1">
        <v>34.268000000000001</v>
      </c>
      <c r="C375" s="1">
        <v>-77.906000000000006</v>
      </c>
      <c r="D375" s="1" t="s">
        <v>1491</v>
      </c>
      <c r="E375" s="5">
        <v>1</v>
      </c>
      <c r="F375" s="7">
        <v>1</v>
      </c>
      <c r="G375" s="5">
        <f>25.5/2</f>
        <v>12.75</v>
      </c>
      <c r="H375" s="5">
        <f t="shared" si="10"/>
        <v>63.805781250000003</v>
      </c>
      <c r="I375" s="5">
        <v>0</v>
      </c>
      <c r="J375" s="5">
        <v>0</v>
      </c>
      <c r="K375" s="5">
        <v>0</v>
      </c>
      <c r="L375" s="5">
        <f>5/H375</f>
        <v>7.8362805094561866E-2</v>
      </c>
      <c r="M375" s="5">
        <v>0</v>
      </c>
      <c r="N375" s="5">
        <v>0</v>
      </c>
      <c r="O375" s="5">
        <v>0</v>
      </c>
      <c r="P375" s="5">
        <v>0</v>
      </c>
    </row>
    <row r="376" spans="1:16" hidden="1" x14ac:dyDescent="0.25">
      <c r="A376" t="s">
        <v>621</v>
      </c>
      <c r="B376" s="1">
        <v>34.268000000000001</v>
      </c>
      <c r="C376" s="1">
        <v>-77.906000000000006</v>
      </c>
      <c r="D376" s="1" t="s">
        <v>1490</v>
      </c>
      <c r="E376" s="5">
        <v>1</v>
      </c>
      <c r="F376" s="7">
        <v>1</v>
      </c>
      <c r="G376">
        <f>25.5/2</f>
        <v>12.75</v>
      </c>
      <c r="H376" s="5">
        <f t="shared" si="10"/>
        <v>63.805781250000003</v>
      </c>
      <c r="I376">
        <v>0</v>
      </c>
      <c r="J376">
        <v>0</v>
      </c>
      <c r="K376">
        <v>0</v>
      </c>
      <c r="L376">
        <f>5/H376</f>
        <v>7.8362805094561866E-2</v>
      </c>
      <c r="M376">
        <v>0</v>
      </c>
      <c r="N376">
        <v>0</v>
      </c>
      <c r="O376">
        <v>0</v>
      </c>
      <c r="P376">
        <v>0</v>
      </c>
    </row>
    <row r="377" spans="1:16" hidden="1" x14ac:dyDescent="0.25">
      <c r="A377" t="s">
        <v>4</v>
      </c>
      <c r="B377" s="5">
        <v>34.268999999999998</v>
      </c>
      <c r="C377" s="5">
        <v>-86.858000000000004</v>
      </c>
      <c r="D377" s="5" t="s">
        <v>1233</v>
      </c>
      <c r="E377" s="5">
        <v>1</v>
      </c>
      <c r="F377" s="7">
        <v>0</v>
      </c>
      <c r="G377">
        <f>25.5/2</f>
        <v>12.75</v>
      </c>
      <c r="H377" s="5">
        <f t="shared" si="10"/>
        <v>63.805781250000003</v>
      </c>
      <c r="I377">
        <v>0</v>
      </c>
      <c r="J377">
        <f>8.5*4/2/H377</f>
        <v>0.26643353732151032</v>
      </c>
      <c r="K377">
        <f>(H377-4*4/2)/H377</f>
        <v>0.87461951184870101</v>
      </c>
      <c r="L377">
        <f>(H377-5*4.5/2)/H377</f>
        <v>0.82368368853723584</v>
      </c>
      <c r="M377">
        <f>4*4.5/2/H377</f>
        <v>0.14105304917021136</v>
      </c>
      <c r="N377">
        <v>0</v>
      </c>
      <c r="O377">
        <f>9*4.5/2/H377</f>
        <v>0.31736936063297555</v>
      </c>
      <c r="P377">
        <f>7.5*8/2/H377</f>
        <v>0.4701768305673712</v>
      </c>
    </row>
    <row r="378" spans="1:16" hidden="1" x14ac:dyDescent="0.25">
      <c r="A378" t="s">
        <v>321</v>
      </c>
      <c r="B378" s="5">
        <v>34.271999999999998</v>
      </c>
      <c r="C378" s="5">
        <v>-83.83</v>
      </c>
      <c r="D378" s="5" t="s">
        <v>1290</v>
      </c>
      <c r="E378">
        <v>1</v>
      </c>
      <c r="F378" s="7">
        <v>1</v>
      </c>
      <c r="G378">
        <f>24.5/2</f>
        <v>12.25</v>
      </c>
      <c r="H378" s="5">
        <f t="shared" si="10"/>
        <v>58.899531250000003</v>
      </c>
      <c r="I378">
        <f>0.5/H378</f>
        <v>8.4890319054958512E-3</v>
      </c>
      <c r="J378">
        <f>8.5*4.5/2/H378</f>
        <v>0.32470547038521635</v>
      </c>
      <c r="K378">
        <f>4.5*3.5/2/H378</f>
        <v>0.13370225251155968</v>
      </c>
      <c r="L378">
        <f>2.7*5.5/H378</f>
        <v>0.25212424759322682</v>
      </c>
      <c r="M378">
        <f>7.5*7.5/2/H378</f>
        <v>0.47750804468414165</v>
      </c>
      <c r="N378">
        <f>5.5*3.5/2/H378</f>
        <v>0.16341386418079515</v>
      </c>
      <c r="O378">
        <f>3.5/H378</f>
        <v>5.9423223338470964E-2</v>
      </c>
      <c r="P378">
        <v>0</v>
      </c>
    </row>
    <row r="379" spans="1:16" hidden="1" x14ac:dyDescent="0.25">
      <c r="A379" t="s">
        <v>84</v>
      </c>
      <c r="B379" s="1">
        <v>34.299999999999997</v>
      </c>
      <c r="C379" s="1">
        <v>-116.167</v>
      </c>
      <c r="D379" s="1" t="s">
        <v>1192</v>
      </c>
      <c r="E379">
        <v>1</v>
      </c>
      <c r="F379" s="7">
        <v>0</v>
      </c>
      <c r="G379">
        <f>25.5/2</f>
        <v>12.75</v>
      </c>
      <c r="H379" s="5">
        <f t="shared" si="10"/>
        <v>63.805781250000003</v>
      </c>
      <c r="I379">
        <f>0.3/H379</f>
        <v>4.7017683056737114E-3</v>
      </c>
      <c r="J379">
        <f>0.3/H379</f>
        <v>4.7017683056737114E-3</v>
      </c>
      <c r="K379">
        <f>1/H379</f>
        <v>1.5672561018912373E-2</v>
      </c>
      <c r="L379">
        <v>0</v>
      </c>
      <c r="M379">
        <v>0</v>
      </c>
      <c r="N379">
        <f>0.5/H379</f>
        <v>7.8362805094561866E-3</v>
      </c>
      <c r="O379">
        <v>0</v>
      </c>
      <c r="P379">
        <v>0</v>
      </c>
    </row>
    <row r="380" spans="1:16" hidden="1" x14ac:dyDescent="0.25">
      <c r="A380" t="s">
        <v>127</v>
      </c>
      <c r="B380" s="1">
        <v>34.299999999999997</v>
      </c>
      <c r="C380" s="1">
        <v>-116.167</v>
      </c>
      <c r="D380" s="1" t="s">
        <v>1192</v>
      </c>
      <c r="E380">
        <v>1</v>
      </c>
      <c r="F380" s="7">
        <v>0</v>
      </c>
      <c r="G380" s="5">
        <f>25.5/2</f>
        <v>12.75</v>
      </c>
      <c r="H380" s="5">
        <f t="shared" si="10"/>
        <v>63.805781250000003</v>
      </c>
      <c r="I380" s="5">
        <f>0.3/H380</f>
        <v>4.7017683056737114E-3</v>
      </c>
      <c r="J380" s="5">
        <f>0.3/H380</f>
        <v>4.7017683056737114E-3</v>
      </c>
      <c r="K380" s="5">
        <f>1/H380</f>
        <v>1.5672561018912373E-2</v>
      </c>
      <c r="L380" s="5">
        <v>0</v>
      </c>
      <c r="M380" s="5">
        <v>0</v>
      </c>
      <c r="N380" s="5">
        <f>0.5/H380</f>
        <v>7.8362805094561866E-3</v>
      </c>
      <c r="O380" s="5">
        <v>0</v>
      </c>
      <c r="P380" s="5">
        <v>0</v>
      </c>
    </row>
    <row r="381" spans="1:16" hidden="1" x14ac:dyDescent="0.25">
      <c r="A381" t="s">
        <v>87</v>
      </c>
      <c r="B381" s="1">
        <v>34.299999999999997</v>
      </c>
      <c r="C381" s="1">
        <v>-116.15</v>
      </c>
      <c r="D381" t="s">
        <v>2329</v>
      </c>
      <c r="E381">
        <v>1</v>
      </c>
      <c r="F381" s="7">
        <v>0</v>
      </c>
      <c r="G381" s="5">
        <f>25.5/2</f>
        <v>12.75</v>
      </c>
      <c r="H381" s="5">
        <f t="shared" si="10"/>
        <v>63.805781250000003</v>
      </c>
      <c r="I381" s="5">
        <f>0.3/H381</f>
        <v>4.7017683056737114E-3</v>
      </c>
      <c r="J381" s="5">
        <f>0.3/H381</f>
        <v>4.7017683056737114E-3</v>
      </c>
      <c r="K381" s="5">
        <f>1/H381</f>
        <v>1.5672561018912373E-2</v>
      </c>
      <c r="L381" s="5">
        <v>0</v>
      </c>
      <c r="M381" s="5">
        <v>0</v>
      </c>
      <c r="N381" s="5">
        <f>0.5/H381</f>
        <v>7.8362805094561866E-3</v>
      </c>
      <c r="O381" s="5">
        <v>0</v>
      </c>
      <c r="P381" s="5">
        <v>0</v>
      </c>
    </row>
    <row r="382" spans="1:16" hidden="1" x14ac:dyDescent="0.25">
      <c r="A382" t="s">
        <v>330</v>
      </c>
      <c r="B382">
        <v>34.347999999999999</v>
      </c>
      <c r="C382">
        <v>-85.161000000000001</v>
      </c>
      <c r="D382" t="s">
        <v>1536</v>
      </c>
      <c r="E382" s="5">
        <v>1</v>
      </c>
      <c r="F382" s="7">
        <v>1</v>
      </c>
      <c r="G382">
        <v>11</v>
      </c>
      <c r="H382" s="5">
        <f t="shared" si="10"/>
        <v>47.4925</v>
      </c>
      <c r="I382">
        <f>0.5/H382</f>
        <v>1.0527978101805549E-2</v>
      </c>
      <c r="J382">
        <v>0</v>
      </c>
      <c r="K382">
        <v>0</v>
      </c>
      <c r="L382">
        <f>3.5/H382</f>
        <v>7.3695846712638832E-2</v>
      </c>
      <c r="M382">
        <f>6/H382</f>
        <v>0.12633573722166658</v>
      </c>
      <c r="N382">
        <f>6*8/2/H382</f>
        <v>0.50534294888666631</v>
      </c>
      <c r="O382">
        <f>3.5*1.5/H382</f>
        <v>0.11054377006895826</v>
      </c>
      <c r="P382">
        <f>8*1.5/2/H382</f>
        <v>0.12633573722166658</v>
      </c>
    </row>
    <row r="383" spans="1:16" hidden="1" x14ac:dyDescent="0.25">
      <c r="A383" t="s">
        <v>831</v>
      </c>
      <c r="B383">
        <v>34.351999999999997</v>
      </c>
      <c r="C383">
        <v>-98.983999999999995</v>
      </c>
      <c r="D383" t="s">
        <v>1582</v>
      </c>
      <c r="E383">
        <v>1</v>
      </c>
      <c r="F383" s="7">
        <v>1</v>
      </c>
      <c r="G383">
        <f>25.5/2</f>
        <v>12.75</v>
      </c>
      <c r="H383" s="5">
        <f t="shared" si="10"/>
        <v>63.805781250000003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idden="1" x14ac:dyDescent="0.25">
      <c r="A384" t="s">
        <v>88</v>
      </c>
      <c r="B384">
        <v>34.366999999999997</v>
      </c>
      <c r="C384">
        <v>-118.56699999999999</v>
      </c>
      <c r="D384" t="s">
        <v>1207</v>
      </c>
      <c r="E384" s="5">
        <v>1</v>
      </c>
      <c r="F384" s="7">
        <v>0</v>
      </c>
      <c r="G384">
        <f>19.5/2</f>
        <v>9.75</v>
      </c>
      <c r="H384" s="5">
        <f t="shared" si="10"/>
        <v>37.312031250000004</v>
      </c>
      <c r="I384">
        <f>1.5/H384</f>
        <v>4.0201510069221971E-2</v>
      </c>
      <c r="J384">
        <v>0</v>
      </c>
      <c r="K384">
        <v>0</v>
      </c>
      <c r="L384">
        <v>0</v>
      </c>
      <c r="M384">
        <v>0</v>
      </c>
      <c r="N384">
        <f>2/H384</f>
        <v>5.3602013425629293E-2</v>
      </c>
      <c r="O384">
        <f>4/H384</f>
        <v>0.10720402685125859</v>
      </c>
      <c r="P384">
        <f>1.5/H384</f>
        <v>4.0201510069221971E-2</v>
      </c>
    </row>
    <row r="385" spans="1:16" hidden="1" x14ac:dyDescent="0.25">
      <c r="A385" t="s">
        <v>715</v>
      </c>
      <c r="B385">
        <v>34.383000000000003</v>
      </c>
      <c r="C385">
        <v>-103.322</v>
      </c>
      <c r="D385" t="s">
        <v>1427</v>
      </c>
      <c r="E385" s="5">
        <v>1</v>
      </c>
      <c r="F385" s="7">
        <v>0</v>
      </c>
      <c r="G385">
        <f>25.6/2</f>
        <v>12.8</v>
      </c>
      <c r="H385" s="5">
        <f t="shared" si="10"/>
        <v>64.307200000000009</v>
      </c>
      <c r="I38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</row>
    <row r="386" spans="1:16" hidden="1" x14ac:dyDescent="0.25">
      <c r="A386" t="s">
        <v>825</v>
      </c>
      <c r="B386" s="5">
        <v>34.4</v>
      </c>
      <c r="C386" s="5">
        <v>-96.15</v>
      </c>
      <c r="D386" s="5" t="s">
        <v>1243</v>
      </c>
      <c r="E386" s="5">
        <v>1</v>
      </c>
      <c r="F386" s="7">
        <v>0</v>
      </c>
      <c r="G386">
        <v>10.5</v>
      </c>
      <c r="H386" s="5">
        <f t="shared" si="10"/>
        <v>43.273125</v>
      </c>
      <c r="I386">
        <f>5*6.5/2/H386</f>
        <v>0.37552175859728182</v>
      </c>
      <c r="J386">
        <f>0.3/H386</f>
        <v>6.9327093894882789E-3</v>
      </c>
      <c r="K386">
        <f>1.3/H386</f>
        <v>3.0041740687782544E-2</v>
      </c>
      <c r="L386">
        <f>0.5/H386</f>
        <v>1.1554515649147131E-2</v>
      </c>
      <c r="M386">
        <f>1/H386</f>
        <v>2.3109031298294263E-2</v>
      </c>
      <c r="N386">
        <f>0.7/H386</f>
        <v>1.6176321908805986E-2</v>
      </c>
      <c r="O386">
        <f>5.5*4/2/H386</f>
        <v>0.25419934428123692</v>
      </c>
      <c r="P386">
        <f>(H386-4*5/2)/H386</f>
        <v>0.76890968701705731</v>
      </c>
    </row>
    <row r="387" spans="1:16" hidden="1" x14ac:dyDescent="0.25">
      <c r="A387" t="s">
        <v>140</v>
      </c>
      <c r="B387" s="5">
        <v>34.426000000000002</v>
      </c>
      <c r="C387" s="5">
        <v>-119.84399999999999</v>
      </c>
      <c r="D387" s="5" t="s">
        <v>1636</v>
      </c>
      <c r="E387" s="5">
        <v>1</v>
      </c>
      <c r="F387" s="7">
        <v>1</v>
      </c>
      <c r="G387">
        <v>12.5</v>
      </c>
      <c r="H387" s="5">
        <f t="shared" si="10"/>
        <v>61.328125</v>
      </c>
      <c r="I387">
        <v>0</v>
      </c>
      <c r="J387">
        <v>0</v>
      </c>
      <c r="K387">
        <v>0</v>
      </c>
      <c r="L387">
        <v>0</v>
      </c>
      <c r="M387">
        <f>2/H387</f>
        <v>3.2611464968152863E-2</v>
      </c>
      <c r="N387">
        <v>0</v>
      </c>
      <c r="O387">
        <v>0</v>
      </c>
      <c r="P387">
        <v>0</v>
      </c>
    </row>
    <row r="388" spans="1:16" hidden="1" x14ac:dyDescent="0.25">
      <c r="A388" t="s">
        <v>1042</v>
      </c>
      <c r="B388" s="1">
        <v>34.433999999999997</v>
      </c>
      <c r="C388" s="1">
        <v>-100.288</v>
      </c>
      <c r="D388" s="1" t="s">
        <v>1600</v>
      </c>
      <c r="E388" s="5">
        <v>1</v>
      </c>
      <c r="F388" s="7">
        <v>0</v>
      </c>
      <c r="G388">
        <f>23/2</f>
        <v>11.5</v>
      </c>
      <c r="H388" s="5">
        <f t="shared" si="10"/>
        <v>51.908124999999998</v>
      </c>
      <c r="I388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</row>
    <row r="389" spans="1:16" hidden="1" x14ac:dyDescent="0.25">
      <c r="A389" t="s">
        <v>1041</v>
      </c>
      <c r="B389" s="1">
        <v>34.433999999999997</v>
      </c>
      <c r="C389" s="1">
        <v>-100.288</v>
      </c>
      <c r="D389" s="1" t="s">
        <v>1599</v>
      </c>
      <c r="E389" s="5">
        <v>1</v>
      </c>
      <c r="F389" s="7">
        <v>0</v>
      </c>
      <c r="G389" s="5">
        <f>23/2</f>
        <v>11.5</v>
      </c>
      <c r="H389" s="5">
        <f t="shared" si="10"/>
        <v>51.908124999999998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</row>
    <row r="390" spans="1:16" hidden="1" x14ac:dyDescent="0.25">
      <c r="A390" t="s">
        <v>35</v>
      </c>
      <c r="B390">
        <v>34.478000000000002</v>
      </c>
      <c r="C390">
        <v>-93.096000000000004</v>
      </c>
      <c r="D390" t="s">
        <v>1561</v>
      </c>
      <c r="E390" s="5">
        <v>1</v>
      </c>
      <c r="F390" s="7">
        <v>1</v>
      </c>
      <c r="G390">
        <v>12.5</v>
      </c>
      <c r="H390" s="5">
        <f t="shared" si="10"/>
        <v>61.328125</v>
      </c>
      <c r="I390">
        <f>(H390-6.5*7.5/2)/H390</f>
        <v>0.60254777070063692</v>
      </c>
      <c r="J390">
        <f>2.5*5/2/H390</f>
        <v>0.10191082802547771</v>
      </c>
      <c r="K390">
        <f>3*3/2/H390</f>
        <v>7.3375796178343944E-2</v>
      </c>
      <c r="L390">
        <f>9.5*6.5/2/H390</f>
        <v>0.50343949044585989</v>
      </c>
      <c r="M390">
        <f>9.5*6/2/H390</f>
        <v>0.46471337579617833</v>
      </c>
      <c r="N390">
        <v>0</v>
      </c>
      <c r="O390">
        <f>11*6.5/2/H390</f>
        <v>0.58292993630573253</v>
      </c>
      <c r="P390">
        <f>8*8.5/2/H390</f>
        <v>0.55439490445859874</v>
      </c>
    </row>
    <row r="391" spans="1:16" hidden="1" x14ac:dyDescent="0.25">
      <c r="A391" t="s">
        <v>922</v>
      </c>
      <c r="B391" s="5">
        <v>34.494999999999997</v>
      </c>
      <c r="C391" s="5">
        <v>-82.709000000000003</v>
      </c>
      <c r="D391" s="5" t="s">
        <v>1523</v>
      </c>
      <c r="E391" s="5">
        <v>1</v>
      </c>
      <c r="F391" s="7">
        <v>1</v>
      </c>
      <c r="G391">
        <v>10</v>
      </c>
      <c r="H391" s="5">
        <f t="shared" si="10"/>
        <v>39.25</v>
      </c>
      <c r="I391">
        <f>(H391-5.5*6.3/2)/H391</f>
        <v>0.55859872611464967</v>
      </c>
      <c r="J391">
        <f>5*2.5/H391</f>
        <v>0.31847133757961782</v>
      </c>
      <c r="K391">
        <v>0</v>
      </c>
      <c r="L391">
        <f>(H391-6*7.5/2)/H391</f>
        <v>0.42675159235668791</v>
      </c>
      <c r="M391">
        <f>3.8*1.2/2/H391</f>
        <v>5.8089171974522291E-2</v>
      </c>
      <c r="N391">
        <f>1/H391</f>
        <v>2.5477707006369428E-2</v>
      </c>
      <c r="O391">
        <f>2.4/H391</f>
        <v>6.1146496815286625E-2</v>
      </c>
      <c r="P391">
        <v>0</v>
      </c>
    </row>
    <row r="392" spans="1:16" hidden="1" x14ac:dyDescent="0.25">
      <c r="A392" t="s">
        <v>76</v>
      </c>
      <c r="B392" s="5">
        <v>34.518000000000001</v>
      </c>
      <c r="C392" s="5">
        <v>-109.379</v>
      </c>
      <c r="D392" s="5" t="s">
        <v>1618</v>
      </c>
      <c r="E392">
        <v>1</v>
      </c>
      <c r="F392" s="7">
        <v>0</v>
      </c>
      <c r="G392">
        <f>20.2/2</f>
        <v>10.1</v>
      </c>
      <c r="H392" s="5">
        <f t="shared" si="10"/>
        <v>40.038924999999999</v>
      </c>
      <c r="I392">
        <v>0</v>
      </c>
      <c r="J392">
        <v>0</v>
      </c>
      <c r="K392">
        <v>0</v>
      </c>
      <c r="L392">
        <v>0</v>
      </c>
      <c r="M392">
        <f>0.3/H392</f>
        <v>7.4927086578872931E-3</v>
      </c>
      <c r="N392">
        <v>0</v>
      </c>
      <c r="O392">
        <f>0.3/H392</f>
        <v>7.4927086578872931E-3</v>
      </c>
      <c r="P392">
        <f>1.5/H392</f>
        <v>3.746354328943647E-2</v>
      </c>
    </row>
    <row r="393" spans="1:16" hidden="1" x14ac:dyDescent="0.25">
      <c r="A393" t="s">
        <v>846</v>
      </c>
      <c r="B393">
        <v>34.567999999999998</v>
      </c>
      <c r="C393">
        <v>-98.415999999999997</v>
      </c>
      <c r="D393" t="s">
        <v>1597</v>
      </c>
      <c r="E393" s="5">
        <v>1</v>
      </c>
      <c r="F393" s="7">
        <v>1</v>
      </c>
      <c r="G393">
        <f>17.5/2</f>
        <v>8.75</v>
      </c>
      <c r="H393" s="5">
        <f t="shared" si="10"/>
        <v>30.05078125</v>
      </c>
      <c r="I393">
        <v>0</v>
      </c>
      <c r="J393">
        <v>0</v>
      </c>
      <c r="K393">
        <v>0</v>
      </c>
      <c r="L393">
        <v>0</v>
      </c>
      <c r="M393">
        <f>1/H393</f>
        <v>3.3277005069543744E-2</v>
      </c>
      <c r="N393">
        <f>4/H393</f>
        <v>0.13310802027817498</v>
      </c>
      <c r="O393">
        <v>0</v>
      </c>
      <c r="P393">
        <v>0</v>
      </c>
    </row>
    <row r="394" spans="1:16" hidden="1" x14ac:dyDescent="0.25">
      <c r="A394" t="s">
        <v>131</v>
      </c>
      <c r="B394" s="1">
        <v>34.597999999999999</v>
      </c>
      <c r="C394" s="1">
        <v>-117.383</v>
      </c>
      <c r="D394" s="5" t="s">
        <v>1625</v>
      </c>
      <c r="E394" s="5">
        <v>1</v>
      </c>
      <c r="F394" s="7">
        <v>0</v>
      </c>
      <c r="G394">
        <v>10.5</v>
      </c>
      <c r="H394" s="5">
        <f t="shared" si="10"/>
        <v>43.273125</v>
      </c>
      <c r="I394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</row>
    <row r="395" spans="1:16" hidden="1" x14ac:dyDescent="0.25">
      <c r="A395" t="s">
        <v>85</v>
      </c>
      <c r="B395" s="1">
        <v>34.6</v>
      </c>
      <c r="C395" s="1">
        <v>-117.383</v>
      </c>
      <c r="D395" t="s">
        <v>1200</v>
      </c>
      <c r="E395" s="5">
        <v>1</v>
      </c>
      <c r="F395" s="7">
        <v>0</v>
      </c>
      <c r="G395" s="5">
        <v>10.5</v>
      </c>
      <c r="H395" s="5">
        <f t="shared" si="10"/>
        <v>43.273125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</row>
    <row r="396" spans="1:16" hidden="1" x14ac:dyDescent="0.25">
      <c r="A396" t="s">
        <v>636</v>
      </c>
      <c r="B396" s="5">
        <v>34.61</v>
      </c>
      <c r="C396" s="5">
        <v>-79.058999999999997</v>
      </c>
      <c r="D396" s="5" t="s">
        <v>1514</v>
      </c>
      <c r="E396" s="5">
        <v>1</v>
      </c>
      <c r="F396" s="7">
        <v>1</v>
      </c>
      <c r="G396">
        <v>11</v>
      </c>
      <c r="H396" s="5">
        <f t="shared" si="10"/>
        <v>47.4925</v>
      </c>
      <c r="I396">
        <v>0</v>
      </c>
      <c r="J396">
        <v>0</v>
      </c>
      <c r="K396">
        <v>0</v>
      </c>
      <c r="L396">
        <f>2/H396</f>
        <v>4.2111912407222195E-2</v>
      </c>
      <c r="M396">
        <f>9*4/2/H396</f>
        <v>0.37900721166499973</v>
      </c>
      <c r="N396">
        <f>1/H396</f>
        <v>2.1055956203611097E-2</v>
      </c>
      <c r="O396">
        <v>0</v>
      </c>
      <c r="P396">
        <v>0</v>
      </c>
    </row>
    <row r="397" spans="1:16" hidden="1" x14ac:dyDescent="0.25">
      <c r="A397" t="s">
        <v>130</v>
      </c>
      <c r="B397">
        <v>34.628999999999998</v>
      </c>
      <c r="C397">
        <v>-118.084</v>
      </c>
      <c r="D397" t="s">
        <v>1624</v>
      </c>
      <c r="E397" s="5">
        <v>1</v>
      </c>
      <c r="F397" s="7">
        <v>1</v>
      </c>
      <c r="G397">
        <f>22.5/2</f>
        <v>11.25</v>
      </c>
      <c r="H397" s="5">
        <f t="shared" si="10"/>
        <v>49.675781250000007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hidden="1" x14ac:dyDescent="0.25">
      <c r="A398" t="s">
        <v>709</v>
      </c>
      <c r="B398" s="1">
        <v>34.633000000000003</v>
      </c>
      <c r="C398" s="1">
        <v>-103.633</v>
      </c>
      <c r="D398" s="1" t="s">
        <v>2320</v>
      </c>
      <c r="E398" s="5">
        <v>1</v>
      </c>
      <c r="F398" s="7">
        <v>1</v>
      </c>
      <c r="G398">
        <v>12</v>
      </c>
      <c r="H398" s="5">
        <f t="shared" si="10"/>
        <v>56.519999999999996</v>
      </c>
      <c r="I398">
        <v>0</v>
      </c>
      <c r="J398">
        <v>0</v>
      </c>
      <c r="K398">
        <v>0</v>
      </c>
      <c r="L398">
        <v>0</v>
      </c>
      <c r="M398">
        <f>1/H398</f>
        <v>1.7692852087756547E-2</v>
      </c>
      <c r="N398">
        <v>0</v>
      </c>
      <c r="O398">
        <v>0</v>
      </c>
      <c r="P398">
        <v>0</v>
      </c>
    </row>
    <row r="399" spans="1:16" hidden="1" x14ac:dyDescent="0.25">
      <c r="A399" t="s">
        <v>22</v>
      </c>
      <c r="B399">
        <v>34.643999999999998</v>
      </c>
      <c r="C399">
        <v>-86.786000000000001</v>
      </c>
      <c r="D399" t="s">
        <v>1537</v>
      </c>
      <c r="E399" s="5">
        <v>1</v>
      </c>
      <c r="F399" s="7">
        <v>1</v>
      </c>
      <c r="G399">
        <v>11.5</v>
      </c>
      <c r="H399" s="5">
        <f t="shared" si="10"/>
        <v>51.908124999999998</v>
      </c>
      <c r="I399">
        <v>0</v>
      </c>
      <c r="J399">
        <v>0</v>
      </c>
      <c r="K399">
        <v>0</v>
      </c>
      <c r="L399">
        <f>0.5/H399</f>
        <v>9.6324034050546039E-3</v>
      </c>
      <c r="M399">
        <f>4*4/2/H399</f>
        <v>0.15411845448087366</v>
      </c>
      <c r="N399">
        <f>3/H399</f>
        <v>5.7794420430327627E-2</v>
      </c>
      <c r="O399">
        <f>0.3/H399</f>
        <v>5.7794420430327623E-3</v>
      </c>
      <c r="P399">
        <v>0</v>
      </c>
    </row>
    <row r="400" spans="1:16" hidden="1" x14ac:dyDescent="0.25">
      <c r="A400" t="s">
        <v>839</v>
      </c>
      <c r="B400" s="5">
        <v>34.65</v>
      </c>
      <c r="C400" s="5">
        <v>-98.402000000000001</v>
      </c>
      <c r="D400" s="5" t="s">
        <v>1590</v>
      </c>
      <c r="E400" s="5">
        <v>1</v>
      </c>
      <c r="F400" s="7">
        <v>0</v>
      </c>
      <c r="G400">
        <f>23.8/2</f>
        <v>11.9</v>
      </c>
      <c r="H400" s="5">
        <f t="shared" si="10"/>
        <v>55.581924999999998</v>
      </c>
      <c r="I400">
        <v>0</v>
      </c>
      <c r="J400">
        <f>4*1.5/2/H400</f>
        <v>5.3974381060029858E-2</v>
      </c>
      <c r="K400">
        <f>5*3.8/2/H400</f>
        <v>0.17091887335676123</v>
      </c>
      <c r="L400">
        <v>0</v>
      </c>
      <c r="M400">
        <v>0</v>
      </c>
      <c r="N400">
        <f>0.4/H400</f>
        <v>7.1965841413373149E-3</v>
      </c>
      <c r="O400">
        <v>0</v>
      </c>
      <c r="P400">
        <v>0</v>
      </c>
    </row>
    <row r="401" spans="1:16" hidden="1" x14ac:dyDescent="0.25">
      <c r="A401" t="s">
        <v>72</v>
      </c>
      <c r="B401" s="1">
        <v>34.652000000000001</v>
      </c>
      <c r="C401" s="1">
        <v>-112.42100000000001</v>
      </c>
      <c r="D401" s="1" t="s">
        <v>1614</v>
      </c>
      <c r="E401" s="5">
        <v>1</v>
      </c>
      <c r="F401" s="7">
        <v>1</v>
      </c>
      <c r="G401" s="5">
        <f>25.3/2</f>
        <v>12.65</v>
      </c>
      <c r="H401" s="5">
        <f t="shared" si="10"/>
        <v>62.808831250000004</v>
      </c>
      <c r="I401" s="5">
        <v>0</v>
      </c>
      <c r="J401" s="5">
        <f>6/H401</f>
        <v>9.5527967653434076E-2</v>
      </c>
      <c r="K401" s="5">
        <f>2.7/H401</f>
        <v>4.2987585444045337E-2</v>
      </c>
      <c r="L401" s="5">
        <f>8.5*3.2/2/H401</f>
        <v>0.2165300600144506</v>
      </c>
      <c r="M401" s="5">
        <f>5.2*3/2/H401</f>
        <v>0.12418635794946431</v>
      </c>
      <c r="N401" s="5">
        <f>2/H401</f>
        <v>3.184265588447803E-2</v>
      </c>
      <c r="O401" s="5">
        <v>0</v>
      </c>
      <c r="P401" s="5">
        <f>0.6/H401</f>
        <v>9.5527967653434073E-3</v>
      </c>
    </row>
    <row r="402" spans="1:16" hidden="1" x14ac:dyDescent="0.25">
      <c r="A402" t="s">
        <v>71</v>
      </c>
      <c r="B402" s="1">
        <v>34.652000000000001</v>
      </c>
      <c r="C402" s="1">
        <v>-112.42100000000001</v>
      </c>
      <c r="D402" s="1" t="s">
        <v>1613</v>
      </c>
      <c r="E402" s="5">
        <v>1</v>
      </c>
      <c r="F402" s="7">
        <v>1</v>
      </c>
      <c r="G402">
        <f>25.3/2</f>
        <v>12.65</v>
      </c>
      <c r="H402" s="5">
        <f t="shared" si="10"/>
        <v>62.808831250000004</v>
      </c>
      <c r="I402">
        <v>0</v>
      </c>
      <c r="J402">
        <f>6/H402</f>
        <v>9.5527967653434076E-2</v>
      </c>
      <c r="K402">
        <f>2.7/H402</f>
        <v>4.2987585444045337E-2</v>
      </c>
      <c r="L402">
        <f>8.5*3.2/2/H402</f>
        <v>0.2165300600144506</v>
      </c>
      <c r="M402">
        <f>5.2*3/2/H402</f>
        <v>0.12418635794946431</v>
      </c>
      <c r="N402">
        <f>2/H402</f>
        <v>3.184265588447803E-2</v>
      </c>
      <c r="O402">
        <v>0</v>
      </c>
      <c r="P402">
        <f>0.6/H402</f>
        <v>9.5527967653434073E-3</v>
      </c>
    </row>
    <row r="403" spans="1:16" hidden="1" x14ac:dyDescent="0.25">
      <c r="A403" t="s">
        <v>17</v>
      </c>
      <c r="B403">
        <v>34.652999999999999</v>
      </c>
      <c r="C403">
        <v>-86.944999999999993</v>
      </c>
      <c r="D403" t="s">
        <v>1322</v>
      </c>
      <c r="E403" s="5">
        <v>1</v>
      </c>
      <c r="F403" s="7">
        <v>1</v>
      </c>
      <c r="G403">
        <f>25.5/2</f>
        <v>12.75</v>
      </c>
      <c r="H403" s="5">
        <f t="shared" si="10"/>
        <v>63.805781250000003</v>
      </c>
      <c r="I403">
        <v>0</v>
      </c>
      <c r="J403">
        <v>0</v>
      </c>
      <c r="K403">
        <f>5/H403</f>
        <v>7.8362805094561866E-2</v>
      </c>
      <c r="L403">
        <f>1.5*4.5/H403</f>
        <v>0.10578978687765851</v>
      </c>
      <c r="M403">
        <v>0</v>
      </c>
      <c r="N403">
        <v>0</v>
      </c>
      <c r="O403">
        <f>1.5/H403</f>
        <v>2.350884152836856E-2</v>
      </c>
      <c r="P403">
        <v>0</v>
      </c>
    </row>
    <row r="404" spans="1:16" hidden="1" x14ac:dyDescent="0.25">
      <c r="A404" t="s">
        <v>827</v>
      </c>
      <c r="B404">
        <v>34.658000000000001</v>
      </c>
      <c r="C404">
        <v>-99.266999999999996</v>
      </c>
      <c r="D404" t="s">
        <v>1579</v>
      </c>
      <c r="E404" s="5">
        <v>1</v>
      </c>
      <c r="F404" s="7">
        <v>0</v>
      </c>
      <c r="G404">
        <f>22.7/2</f>
        <v>11.35</v>
      </c>
      <c r="H404" s="5">
        <f t="shared" si="10"/>
        <v>50.562831250000002</v>
      </c>
      <c r="I404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</row>
    <row r="405" spans="1:16" hidden="1" x14ac:dyDescent="0.25">
      <c r="A405" t="s">
        <v>918</v>
      </c>
      <c r="B405">
        <v>34.671999999999997</v>
      </c>
      <c r="C405">
        <v>-82.885999999999996</v>
      </c>
      <c r="D405" t="s">
        <v>1519</v>
      </c>
      <c r="E405" s="5">
        <v>1</v>
      </c>
      <c r="F405" s="7">
        <v>1</v>
      </c>
      <c r="G405">
        <v>13</v>
      </c>
      <c r="H405" s="5">
        <f t="shared" si="10"/>
        <v>66.332499999999996</v>
      </c>
      <c r="I405">
        <f>(H405-5.8*6.3/2)/H405</f>
        <v>0.724569404138243</v>
      </c>
      <c r="J405">
        <f>(H405-6.5*8/2)/H405</f>
        <v>0.60803527682508574</v>
      </c>
      <c r="K405">
        <f>(H405-8.5/4/2)/H405</f>
        <v>0.98398221083179438</v>
      </c>
      <c r="L405">
        <f>6/H405</f>
        <v>9.0453397655749446E-2</v>
      </c>
      <c r="M405">
        <f>(H405-3*3/2)/H405</f>
        <v>0.93215995175818789</v>
      </c>
      <c r="N405">
        <f>9*10/2/H405</f>
        <v>0.6784004824181209</v>
      </c>
      <c r="O405">
        <f>6*3.5/2/H405</f>
        <v>0.15829344589756153</v>
      </c>
      <c r="P405">
        <f>(H405-8.5*4/2)/H405</f>
        <v>0.74371537330870985</v>
      </c>
    </row>
    <row r="406" spans="1:16" hidden="1" x14ac:dyDescent="0.25">
      <c r="A406" t="s">
        <v>23</v>
      </c>
      <c r="B406" s="1">
        <v>34.679000000000002</v>
      </c>
      <c r="C406" s="1">
        <v>-86.685000000000002</v>
      </c>
      <c r="D406" s="1" t="s">
        <v>1538</v>
      </c>
      <c r="E406" s="5">
        <v>1</v>
      </c>
      <c r="F406" s="7">
        <v>0</v>
      </c>
      <c r="G406">
        <v>11</v>
      </c>
      <c r="H406" s="5">
        <f t="shared" si="10"/>
        <v>47.4925</v>
      </c>
      <c r="I406">
        <v>0</v>
      </c>
      <c r="J406">
        <f>7/H406</f>
        <v>0.14739169342527766</v>
      </c>
      <c r="K406">
        <f>3.5*5.5/2/H406</f>
        <v>0.2026635784597568</v>
      </c>
      <c r="L406">
        <f>2.6*3.5/2/H406</f>
        <v>9.5804600726430489E-2</v>
      </c>
      <c r="M406">
        <v>0</v>
      </c>
      <c r="N406">
        <f>4*1.5/2/H406</f>
        <v>6.3167868610833289E-2</v>
      </c>
      <c r="O406">
        <v>0</v>
      </c>
      <c r="P406">
        <v>0</v>
      </c>
    </row>
    <row r="407" spans="1:16" hidden="1" x14ac:dyDescent="0.25">
      <c r="A407" t="s">
        <v>0</v>
      </c>
      <c r="B407" s="1">
        <v>34.683</v>
      </c>
      <c r="C407" s="1">
        <v>-86.683000000000007</v>
      </c>
      <c r="D407" s="1" t="s">
        <v>1538</v>
      </c>
      <c r="E407" s="5">
        <v>1</v>
      </c>
      <c r="F407" s="7">
        <v>0</v>
      </c>
      <c r="G407" s="5">
        <v>11</v>
      </c>
      <c r="H407" s="5">
        <f t="shared" si="10"/>
        <v>47.4925</v>
      </c>
      <c r="I407" s="5">
        <v>0</v>
      </c>
      <c r="J407" s="5">
        <f>7/H407</f>
        <v>0.14739169342527766</v>
      </c>
      <c r="K407" s="5">
        <f>3.5*5.5/2/H407</f>
        <v>0.2026635784597568</v>
      </c>
      <c r="L407" s="5">
        <f>2.6*3.5/2/H407</f>
        <v>9.5804600726430489E-2</v>
      </c>
      <c r="M407" s="5">
        <v>0</v>
      </c>
      <c r="N407" s="5">
        <f>4*1.5/2/H407</f>
        <v>6.3167868610833289E-2</v>
      </c>
      <c r="O407" s="5">
        <v>0</v>
      </c>
      <c r="P407" s="5">
        <v>0</v>
      </c>
    </row>
    <row r="408" spans="1:16" hidden="1" x14ac:dyDescent="0.25">
      <c r="A408" t="s">
        <v>635</v>
      </c>
      <c r="B408" s="5">
        <v>34.691000000000003</v>
      </c>
      <c r="C408" s="5">
        <v>-77.03</v>
      </c>
      <c r="D408" s="5" t="s">
        <v>1509</v>
      </c>
      <c r="E408">
        <v>1</v>
      </c>
      <c r="F408" s="7">
        <v>1</v>
      </c>
      <c r="G408">
        <f>20.8/2</f>
        <v>10.4</v>
      </c>
      <c r="H408" s="5">
        <f t="shared" si="10"/>
        <v>42.452800000000011</v>
      </c>
      <c r="I408">
        <f>4.5*8.5/2/H408</f>
        <v>0.45050032035578325</v>
      </c>
      <c r="J408">
        <f>5.7*3/2/H408</f>
        <v>0.20140014321787958</v>
      </c>
      <c r="K408">
        <f>3.7/H408</f>
        <v>8.7155617532883561E-2</v>
      </c>
      <c r="L408">
        <f>3.3*3/2/H408</f>
        <v>0.11660008291561447</v>
      </c>
      <c r="M408">
        <v>0</v>
      </c>
      <c r="N408">
        <f>5.2*5.2/2/H408</f>
        <v>0.31847133757961776</v>
      </c>
      <c r="O408">
        <f>4*4.5/H408</f>
        <v>0.42400030151132539</v>
      </c>
      <c r="P408">
        <f>9.2*7/2/H408</f>
        <v>0.75848942825914867</v>
      </c>
    </row>
    <row r="409" spans="1:16" hidden="1" x14ac:dyDescent="0.25">
      <c r="A409" t="s">
        <v>634</v>
      </c>
      <c r="B409" s="5">
        <v>34.700000000000003</v>
      </c>
      <c r="C409" s="5">
        <v>-77.433000000000007</v>
      </c>
      <c r="D409" s="5" t="s">
        <v>1508</v>
      </c>
      <c r="E409">
        <v>1</v>
      </c>
      <c r="F409" s="7">
        <v>1</v>
      </c>
      <c r="G409">
        <v>13</v>
      </c>
      <c r="H409" s="5">
        <f t="shared" si="10"/>
        <v>66.332499999999996</v>
      </c>
      <c r="I409">
        <v>0</v>
      </c>
      <c r="J409">
        <v>0</v>
      </c>
      <c r="K409">
        <v>0</v>
      </c>
      <c r="L409">
        <f>0.3/H409</f>
        <v>4.5226698827874725E-3</v>
      </c>
      <c r="M409">
        <f>2/H409</f>
        <v>3.0151132551916482E-2</v>
      </c>
      <c r="N409">
        <f>2.5/H409</f>
        <v>3.7688915689895602E-2</v>
      </c>
      <c r="O409">
        <v>0</v>
      </c>
      <c r="P409">
        <v>0</v>
      </c>
    </row>
    <row r="410" spans="1:16" hidden="1" x14ac:dyDescent="0.25">
      <c r="A410" t="s">
        <v>144</v>
      </c>
      <c r="B410" s="1">
        <v>34.716999999999999</v>
      </c>
      <c r="C410" s="1">
        <v>-120.56699999999999</v>
      </c>
      <c r="D410" t="s">
        <v>1640</v>
      </c>
      <c r="E410">
        <v>1</v>
      </c>
      <c r="F410" s="7">
        <v>0</v>
      </c>
      <c r="G410">
        <f>22.5/2</f>
        <v>11.25</v>
      </c>
      <c r="H410" s="5">
        <f t="shared" si="10"/>
        <v>49.675781250000007</v>
      </c>
      <c r="I410">
        <f>6.5/H410</f>
        <v>0.13084847055123061</v>
      </c>
      <c r="J410">
        <v>0</v>
      </c>
      <c r="K410">
        <v>0</v>
      </c>
      <c r="L410">
        <v>0</v>
      </c>
      <c r="M410">
        <f>7*6.5/2/H410</f>
        <v>0.45796964692930714</v>
      </c>
      <c r="N410">
        <f>(H410-4*4.5/2)/H410</f>
        <v>0.81882519462137304</v>
      </c>
      <c r="O410">
        <f>(H410-11*4/2)/H410</f>
        <v>0.55712825351891171</v>
      </c>
      <c r="P410">
        <f>1/H410</f>
        <v>2.0130533930958556E-2</v>
      </c>
    </row>
    <row r="411" spans="1:16" hidden="1" x14ac:dyDescent="0.25">
      <c r="A411" t="s">
        <v>143</v>
      </c>
      <c r="B411" s="1">
        <v>34.728999999999999</v>
      </c>
      <c r="C411" s="1">
        <v>-120.568</v>
      </c>
      <c r="D411" s="5" t="s">
        <v>1639</v>
      </c>
      <c r="E411">
        <v>1</v>
      </c>
      <c r="F411" s="7">
        <v>0</v>
      </c>
      <c r="G411">
        <v>10</v>
      </c>
      <c r="H411" s="5">
        <f t="shared" si="10"/>
        <v>39.25</v>
      </c>
      <c r="I411">
        <f>5*3.5/2/H411</f>
        <v>0.22292993630573249</v>
      </c>
      <c r="J411">
        <v>0</v>
      </c>
      <c r="K411">
        <v>0</v>
      </c>
      <c r="L411">
        <v>0</v>
      </c>
      <c r="M411">
        <v>0</v>
      </c>
      <c r="N411" s="5">
        <v>0</v>
      </c>
      <c r="O411" s="5">
        <v>0</v>
      </c>
      <c r="P411" s="5">
        <v>0</v>
      </c>
    </row>
    <row r="412" spans="1:16" hidden="1" x14ac:dyDescent="0.25">
      <c r="A412" t="s">
        <v>626</v>
      </c>
      <c r="B412" s="5">
        <v>34.734000000000002</v>
      </c>
      <c r="C412" s="5">
        <v>-76.661000000000001</v>
      </c>
      <c r="D412" s="5" t="s">
        <v>1495</v>
      </c>
      <c r="E412" s="5">
        <v>1</v>
      </c>
      <c r="F412" s="7">
        <v>1</v>
      </c>
      <c r="G412">
        <v>10</v>
      </c>
      <c r="H412" s="5">
        <f t="shared" si="10"/>
        <v>39.25</v>
      </c>
      <c r="I412">
        <v>0</v>
      </c>
      <c r="J412">
        <f>8*3.5/2/H412</f>
        <v>0.35668789808917195</v>
      </c>
      <c r="K412">
        <f>5*7/2/H412</f>
        <v>0.44585987261146498</v>
      </c>
      <c r="L412">
        <f>6*2.5/2/H412</f>
        <v>0.19108280254777071</v>
      </c>
      <c r="M412">
        <v>0</v>
      </c>
      <c r="N412">
        <v>0</v>
      </c>
      <c r="O412">
        <v>0</v>
      </c>
      <c r="P412">
        <v>0</v>
      </c>
    </row>
    <row r="413" spans="1:16" hidden="1" x14ac:dyDescent="0.25">
      <c r="A413" t="s">
        <v>129</v>
      </c>
      <c r="B413" s="5">
        <v>34.741</v>
      </c>
      <c r="C413" s="5">
        <v>-118.21899999999999</v>
      </c>
      <c r="D413" s="5" t="s">
        <v>1623</v>
      </c>
      <c r="E413" s="5">
        <v>1</v>
      </c>
      <c r="F413" s="7">
        <v>1</v>
      </c>
      <c r="G413">
        <f>20.5/2</f>
        <v>10.25</v>
      </c>
      <c r="H413" s="5">
        <f t="shared" si="10"/>
        <v>41.237031250000001</v>
      </c>
      <c r="I413">
        <v>0</v>
      </c>
      <c r="J413">
        <v>0</v>
      </c>
      <c r="K413">
        <f>0.5/H413</f>
        <v>1.2125024155321559E-2</v>
      </c>
      <c r="L413">
        <f>1.5/H413</f>
        <v>3.6375072465964678E-2</v>
      </c>
      <c r="M413">
        <f>2.5/H413</f>
        <v>6.0625120776607797E-2</v>
      </c>
      <c r="N413">
        <f>0.5/H413</f>
        <v>1.2125024155321559E-2</v>
      </c>
      <c r="O413">
        <v>0</v>
      </c>
      <c r="P413">
        <v>0</v>
      </c>
    </row>
    <row r="414" spans="1:16" hidden="1" x14ac:dyDescent="0.25">
      <c r="A414" t="s">
        <v>132</v>
      </c>
      <c r="B414" s="5">
        <v>34.744</v>
      </c>
      <c r="C414" s="5">
        <v>-118.724</v>
      </c>
      <c r="D414" s="5" t="s">
        <v>1626</v>
      </c>
      <c r="E414" s="5">
        <v>1</v>
      </c>
      <c r="F414" s="7">
        <v>0</v>
      </c>
      <c r="G414">
        <v>12.5</v>
      </c>
      <c r="H414" s="5">
        <f t="shared" si="10"/>
        <v>61.328125</v>
      </c>
      <c r="I414">
        <v>0</v>
      </c>
      <c r="J414">
        <v>0</v>
      </c>
      <c r="K414">
        <f>2.5*3/2/H414</f>
        <v>6.1146496815286625E-2</v>
      </c>
      <c r="L414">
        <f>5*5/2/H414</f>
        <v>0.20382165605095542</v>
      </c>
      <c r="M414">
        <f>6*4/2/H414</f>
        <v>0.19566878980891719</v>
      </c>
      <c r="N414">
        <v>0</v>
      </c>
      <c r="O414">
        <v>0</v>
      </c>
      <c r="P414">
        <v>0</v>
      </c>
    </row>
    <row r="415" spans="1:16" hidden="1" x14ac:dyDescent="0.25">
      <c r="A415" t="s">
        <v>24</v>
      </c>
      <c r="B415">
        <v>34.744999999999997</v>
      </c>
      <c r="C415">
        <v>-87.61</v>
      </c>
      <c r="D415" t="s">
        <v>1539</v>
      </c>
      <c r="E415" s="5">
        <v>1</v>
      </c>
      <c r="F415" s="7">
        <v>1</v>
      </c>
      <c r="G415">
        <v>10.5</v>
      </c>
      <c r="H415" s="5">
        <f t="shared" si="10"/>
        <v>43.273125</v>
      </c>
      <c r="I415">
        <f>3.5*3/2/H415</f>
        <v>0.12132241431604489</v>
      </c>
      <c r="J415">
        <f>0.4/H415</f>
        <v>9.2436125193177069E-3</v>
      </c>
      <c r="K415">
        <f>2/H415</f>
        <v>4.6218062596588526E-2</v>
      </c>
      <c r="L415">
        <v>0</v>
      </c>
      <c r="M415">
        <v>0</v>
      </c>
      <c r="N415">
        <v>0</v>
      </c>
      <c r="O415">
        <v>0</v>
      </c>
      <c r="P415">
        <f>5*4.5/2/H415</f>
        <v>0.25997660210581047</v>
      </c>
    </row>
    <row r="416" spans="1:16" hidden="1" x14ac:dyDescent="0.25">
      <c r="A416" t="s">
        <v>30</v>
      </c>
      <c r="B416" s="1">
        <v>34.747</v>
      </c>
      <c r="C416" s="1">
        <v>-92.233000000000004</v>
      </c>
      <c r="D416" s="1" t="s">
        <v>1556</v>
      </c>
      <c r="E416" s="5">
        <v>1</v>
      </c>
      <c r="F416" s="7">
        <v>1</v>
      </c>
      <c r="G416" s="5">
        <v>9.5</v>
      </c>
      <c r="H416" s="5">
        <f t="shared" si="10"/>
        <v>35.423124999999999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</row>
    <row r="417" spans="1:16" hidden="1" x14ac:dyDescent="0.25">
      <c r="A417" t="s">
        <v>29</v>
      </c>
      <c r="B417" s="1">
        <v>34.747</v>
      </c>
      <c r="C417" s="1">
        <v>-92.233000000000004</v>
      </c>
      <c r="D417" s="1" t="s">
        <v>1555</v>
      </c>
      <c r="E417" s="5">
        <v>1</v>
      </c>
      <c r="F417" s="7">
        <v>1</v>
      </c>
      <c r="G417">
        <v>9.5</v>
      </c>
      <c r="H417" s="5">
        <f t="shared" si="10"/>
        <v>35.423124999999999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idden="1" x14ac:dyDescent="0.25">
      <c r="A418" t="s">
        <v>125</v>
      </c>
      <c r="B418" s="5">
        <v>34.765999999999998</v>
      </c>
      <c r="C418" s="5">
        <v>-114.623</v>
      </c>
      <c r="D418" t="s">
        <v>1620</v>
      </c>
      <c r="E418" s="5">
        <v>1</v>
      </c>
      <c r="F418" s="7">
        <v>0</v>
      </c>
      <c r="G418">
        <f>19.5/2</f>
        <v>9.75</v>
      </c>
      <c r="H418" s="5">
        <f t="shared" si="10"/>
        <v>37.312031250000004</v>
      </c>
      <c r="I418">
        <v>0</v>
      </c>
      <c r="J418">
        <v>0</v>
      </c>
      <c r="K418">
        <v>0</v>
      </c>
      <c r="L418">
        <f>0.5/H418</f>
        <v>1.3400503356407323E-2</v>
      </c>
      <c r="M418">
        <v>0</v>
      </c>
      <c r="N418" s="5">
        <v>0</v>
      </c>
      <c r="O418" s="5">
        <v>0</v>
      </c>
      <c r="P418" s="5">
        <v>0</v>
      </c>
    </row>
    <row r="419" spans="1:16" hidden="1" x14ac:dyDescent="0.25">
      <c r="A419" t="s">
        <v>187</v>
      </c>
      <c r="B419" s="5">
        <v>34.79</v>
      </c>
      <c r="C419" s="5">
        <v>-122.325</v>
      </c>
      <c r="D419" t="s">
        <v>2247</v>
      </c>
      <c r="E419">
        <v>1</v>
      </c>
      <c r="F419" s="7">
        <v>0</v>
      </c>
      <c r="G419">
        <v>12.5</v>
      </c>
      <c r="H419" s="5">
        <f t="shared" si="10"/>
        <v>61.328125</v>
      </c>
      <c r="I419">
        <v>0</v>
      </c>
      <c r="J419">
        <f>0.3/H419</f>
        <v>4.8917197452229295E-3</v>
      </c>
      <c r="K419">
        <f>2/H419</f>
        <v>3.2611464968152863E-2</v>
      </c>
      <c r="L419">
        <f>0.7/H419</f>
        <v>1.1414012738853502E-2</v>
      </c>
      <c r="M419">
        <f>1/H419</f>
        <v>1.6305732484076432E-2</v>
      </c>
      <c r="N419">
        <f>2/H419</f>
        <v>3.2611464968152863E-2</v>
      </c>
      <c r="O419">
        <v>0</v>
      </c>
      <c r="P419">
        <f>0.6/H419</f>
        <v>9.7834394904458589E-3</v>
      </c>
    </row>
    <row r="420" spans="1:16" hidden="1" x14ac:dyDescent="0.25">
      <c r="A420" t="s">
        <v>637</v>
      </c>
      <c r="B420">
        <v>34.792000000000002</v>
      </c>
      <c r="C420">
        <v>-79.366</v>
      </c>
      <c r="D420" t="s">
        <v>1515</v>
      </c>
      <c r="E420" s="5">
        <v>1</v>
      </c>
      <c r="F420" s="7">
        <v>1</v>
      </c>
      <c r="G420">
        <f>18.5/2</f>
        <v>9.25</v>
      </c>
      <c r="H420" s="5">
        <f t="shared" si="10"/>
        <v>33.583281249999999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idden="1" x14ac:dyDescent="0.25">
      <c r="A421" t="s">
        <v>28</v>
      </c>
      <c r="B421">
        <v>34.832999999999998</v>
      </c>
      <c r="C421">
        <v>-92.25</v>
      </c>
      <c r="D421" t="s">
        <v>1554</v>
      </c>
      <c r="E421" s="5">
        <v>1</v>
      </c>
      <c r="F421" s="7">
        <v>0</v>
      </c>
      <c r="G421">
        <f>22.5/2</f>
        <v>11.25</v>
      </c>
      <c r="H421" s="5">
        <f t="shared" si="10"/>
        <v>49.675781250000007</v>
      </c>
      <c r="I421">
        <v>0</v>
      </c>
      <c r="J421">
        <f>2/H421</f>
        <v>4.0261067861917112E-2</v>
      </c>
      <c r="K421">
        <f>3/H421</f>
        <v>6.0391601792875671E-2</v>
      </c>
      <c r="L421">
        <f>7*7.5/2/H421</f>
        <v>0.52842651568766208</v>
      </c>
      <c r="M421">
        <f>6.5*4/2/H421</f>
        <v>0.26169694110246122</v>
      </c>
      <c r="N421">
        <v>0</v>
      </c>
      <c r="O421">
        <v>0</v>
      </c>
      <c r="P421">
        <v>0</v>
      </c>
    </row>
    <row r="422" spans="1:16" hidden="1" x14ac:dyDescent="0.25">
      <c r="A422" t="s">
        <v>919</v>
      </c>
      <c r="B422" s="5">
        <v>34.845999999999997</v>
      </c>
      <c r="C422" s="5">
        <v>-82.346000000000004</v>
      </c>
      <c r="D422" t="s">
        <v>1520</v>
      </c>
      <c r="E422" s="5">
        <v>1</v>
      </c>
      <c r="F422" s="7">
        <v>1</v>
      </c>
      <c r="G422">
        <v>10</v>
      </c>
      <c r="H422" s="5">
        <f t="shared" si="10"/>
        <v>39.25</v>
      </c>
      <c r="I422">
        <f>1/H422</f>
        <v>2.5477707006369428E-2</v>
      </c>
      <c r="J422">
        <v>0</v>
      </c>
      <c r="K422">
        <v>0</v>
      </c>
      <c r="L422">
        <f>2.5*3/2/H422</f>
        <v>9.5541401273885357E-2</v>
      </c>
      <c r="M422">
        <f>1.4/H422</f>
        <v>3.5668789808917196E-2</v>
      </c>
      <c r="N422">
        <f>1.4*2.5/H422</f>
        <v>8.9171974522292988E-2</v>
      </c>
      <c r="O422">
        <f>0.4/H422</f>
        <v>1.0191082802547772E-2</v>
      </c>
      <c r="P422">
        <f>5*3/2/H422</f>
        <v>0.19108280254777071</v>
      </c>
    </row>
    <row r="423" spans="1:16" hidden="1" x14ac:dyDescent="0.25">
      <c r="A423" t="s">
        <v>128</v>
      </c>
      <c r="B423" s="5">
        <v>34.853999999999999</v>
      </c>
      <c r="C423" s="5">
        <v>-116.78700000000001</v>
      </c>
      <c r="D423" s="5" t="s">
        <v>1622</v>
      </c>
      <c r="E423" s="5">
        <v>1</v>
      </c>
      <c r="F423" s="7">
        <v>1</v>
      </c>
      <c r="G423">
        <v>12</v>
      </c>
      <c r="H423" s="5">
        <f t="shared" si="10"/>
        <v>56.519999999999996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idden="1" x14ac:dyDescent="0.25">
      <c r="A424" t="s">
        <v>920</v>
      </c>
      <c r="B424" s="5">
        <v>34.899000000000001</v>
      </c>
      <c r="C424" s="5">
        <v>-82.218999999999994</v>
      </c>
      <c r="D424" s="5" t="s">
        <v>1521</v>
      </c>
      <c r="E424" s="5">
        <v>1</v>
      </c>
      <c r="F424" s="7">
        <v>0</v>
      </c>
      <c r="G424">
        <v>10</v>
      </c>
      <c r="H424" s="5">
        <f t="shared" si="10"/>
        <v>39.25</v>
      </c>
      <c r="I424">
        <v>0</v>
      </c>
      <c r="J424">
        <v>0</v>
      </c>
      <c r="K424">
        <f>5.5/H424</f>
        <v>0.14012738853503184</v>
      </c>
      <c r="L424">
        <f>3*1.5/2/H424</f>
        <v>5.7324840764331211E-2</v>
      </c>
      <c r="M424">
        <v>0</v>
      </c>
      <c r="N424">
        <v>0</v>
      </c>
      <c r="O424">
        <f>5.5*7.5/2/H424</f>
        <v>0.52547770700636942</v>
      </c>
      <c r="P424">
        <f>5.5*7.5/2/H424</f>
        <v>0.52547770700636942</v>
      </c>
    </row>
    <row r="425" spans="1:16" hidden="1" x14ac:dyDescent="0.25">
      <c r="A425" t="s">
        <v>632</v>
      </c>
      <c r="B425" s="5">
        <v>34.9</v>
      </c>
      <c r="C425" s="5">
        <v>-76.882999999999996</v>
      </c>
      <c r="D425" s="5" t="s">
        <v>1506</v>
      </c>
      <c r="E425" s="5">
        <v>1</v>
      </c>
      <c r="F425" s="7">
        <v>1</v>
      </c>
      <c r="G425">
        <f>23/2</f>
        <v>11.5</v>
      </c>
      <c r="H425" s="5">
        <f t="shared" si="10"/>
        <v>51.908124999999998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idden="1" x14ac:dyDescent="0.25">
      <c r="A426" t="s">
        <v>126</v>
      </c>
      <c r="B426" s="5">
        <v>34.905999999999999</v>
      </c>
      <c r="C426" s="5">
        <v>-117.884</v>
      </c>
      <c r="D426" s="5" t="s">
        <v>1621</v>
      </c>
      <c r="E426" s="5">
        <v>1</v>
      </c>
      <c r="F426" s="7">
        <v>0</v>
      </c>
      <c r="G426">
        <v>12.5</v>
      </c>
      <c r="H426" s="5">
        <f t="shared" si="10"/>
        <v>61.328125</v>
      </c>
      <c r="I426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</row>
    <row r="427" spans="1:16" hidden="1" x14ac:dyDescent="0.25">
      <c r="A427" t="s">
        <v>145</v>
      </c>
      <c r="B427">
        <v>34.915999999999997</v>
      </c>
      <c r="C427">
        <v>-120.465</v>
      </c>
      <c r="D427" t="s">
        <v>1641</v>
      </c>
      <c r="E427" s="5">
        <v>1</v>
      </c>
      <c r="F427" s="7">
        <v>1</v>
      </c>
      <c r="G427">
        <v>10.5</v>
      </c>
      <c r="H427" s="5">
        <f t="shared" si="10"/>
        <v>43.273125</v>
      </c>
      <c r="I427">
        <f>0.3/H427</f>
        <v>6.9327093894882789E-3</v>
      </c>
      <c r="J427">
        <v>0</v>
      </c>
      <c r="K427">
        <f>3/H427</f>
        <v>6.9327093894882799E-2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idden="1" x14ac:dyDescent="0.25">
      <c r="A428" t="s">
        <v>31</v>
      </c>
      <c r="B428" s="5">
        <v>34.915999999999997</v>
      </c>
      <c r="C428" s="5">
        <v>-92.146000000000001</v>
      </c>
      <c r="D428" t="s">
        <v>1557</v>
      </c>
      <c r="E428" s="5">
        <v>1</v>
      </c>
      <c r="F428" s="7">
        <v>1</v>
      </c>
      <c r="G428">
        <v>12.5</v>
      </c>
      <c r="H428" s="5">
        <f t="shared" si="10"/>
        <v>61.328125</v>
      </c>
      <c r="I428">
        <v>0</v>
      </c>
      <c r="J428">
        <v>0</v>
      </c>
      <c r="K428">
        <f>2/H428</f>
        <v>3.2611464968152863E-2</v>
      </c>
      <c r="L428">
        <f>(H428-7*8.5/2)/H428</f>
        <v>0.51490445859872613</v>
      </c>
      <c r="M428">
        <f>5*9/2/H428</f>
        <v>0.36687898089171972</v>
      </c>
      <c r="N428">
        <v>0</v>
      </c>
      <c r="O428">
        <v>0</v>
      </c>
      <c r="P428">
        <v>0</v>
      </c>
    </row>
    <row r="429" spans="1:16" hidden="1" x14ac:dyDescent="0.25">
      <c r="A429" t="s">
        <v>587</v>
      </c>
      <c r="B429">
        <v>34.982999999999997</v>
      </c>
      <c r="C429">
        <v>-89.783000000000001</v>
      </c>
      <c r="D429" t="s">
        <v>1283</v>
      </c>
      <c r="E429" s="5">
        <v>1</v>
      </c>
      <c r="F429" s="7">
        <v>0</v>
      </c>
      <c r="G429">
        <f>19/2</f>
        <v>9.5</v>
      </c>
      <c r="H429" s="5">
        <f t="shared" si="10"/>
        <v>35.423124999999999</v>
      </c>
      <c r="I429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>
        <f>4.5/H429</f>
        <v>0.12703565820350407</v>
      </c>
      <c r="P429">
        <f>1.5/H429</f>
        <v>4.2345219401168026E-2</v>
      </c>
    </row>
    <row r="430" spans="1:16" hidden="1" x14ac:dyDescent="0.25">
      <c r="A430" t="s">
        <v>917</v>
      </c>
      <c r="B430" s="5">
        <v>34.987000000000002</v>
      </c>
      <c r="C430" s="5">
        <v>-81.058000000000007</v>
      </c>
      <c r="D430" s="5" t="s">
        <v>1518</v>
      </c>
      <c r="E430" s="5">
        <v>1</v>
      </c>
      <c r="F430" s="7">
        <v>1</v>
      </c>
      <c r="G430">
        <f>24.4/2</f>
        <v>12.2</v>
      </c>
      <c r="H430" s="5">
        <f t="shared" si="10"/>
        <v>58.419699999999999</v>
      </c>
      <c r="I430">
        <v>0</v>
      </c>
      <c r="J430">
        <f>12*7.5/2/H430</f>
        <v>0.77028810486873434</v>
      </c>
      <c r="K430">
        <f>9*11/2/H430</f>
        <v>0.84731691535560782</v>
      </c>
      <c r="L430">
        <f>8.5*11/2/H430</f>
        <v>0.80024375339140741</v>
      </c>
      <c r="M430">
        <f>5.5*5.5/2/H430</f>
        <v>0.2589023908031024</v>
      </c>
      <c r="N430">
        <v>0</v>
      </c>
      <c r="O430">
        <f>2.5/H430</f>
        <v>4.2793783603818573E-2</v>
      </c>
      <c r="P430">
        <f>1/H430</f>
        <v>1.711751344152743E-2</v>
      </c>
    </row>
    <row r="431" spans="1:16" hidden="1" x14ac:dyDescent="0.25">
      <c r="A431" t="s">
        <v>124</v>
      </c>
      <c r="B431" s="5">
        <v>34.988</v>
      </c>
      <c r="C431" s="5">
        <v>-117.86499999999999</v>
      </c>
      <c r="D431" s="5" t="s">
        <v>1530</v>
      </c>
      <c r="E431" s="5">
        <v>1</v>
      </c>
      <c r="F431" s="7">
        <v>0</v>
      </c>
      <c r="G431">
        <f>21.5/2</f>
        <v>10.75</v>
      </c>
      <c r="H431" s="5">
        <f t="shared" si="10"/>
        <v>45.358281250000005</v>
      </c>
      <c r="I431">
        <v>0</v>
      </c>
      <c r="J431">
        <v>0</v>
      </c>
      <c r="K431">
        <v>0</v>
      </c>
      <c r="L431">
        <f>5/H431</f>
        <v>0.11023345378634689</v>
      </c>
      <c r="M431">
        <f>1/H431</f>
        <v>2.2046690757269376E-2</v>
      </c>
      <c r="N431">
        <v>0</v>
      </c>
      <c r="O431" s="5">
        <v>0</v>
      </c>
      <c r="P431" s="5">
        <v>0</v>
      </c>
    </row>
    <row r="432" spans="1:16" hidden="1" x14ac:dyDescent="0.25">
      <c r="A432" t="s">
        <v>625</v>
      </c>
      <c r="B432">
        <v>34.991</v>
      </c>
      <c r="C432">
        <v>-78.88</v>
      </c>
      <c r="D432" t="s">
        <v>1494</v>
      </c>
      <c r="E432" s="5">
        <v>1</v>
      </c>
      <c r="F432" s="7">
        <v>1</v>
      </c>
      <c r="G432">
        <v>12.5</v>
      </c>
      <c r="H432" s="5">
        <f t="shared" si="10"/>
        <v>61.328125</v>
      </c>
      <c r="I432">
        <v>0</v>
      </c>
      <c r="J432">
        <f>6.5*7/2/H432</f>
        <v>0.37095541401273885</v>
      </c>
      <c r="K432">
        <f>2.5*7/2/H432</f>
        <v>0.14267515923566879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hidden="1" x14ac:dyDescent="0.25">
      <c r="A433" t="s">
        <v>828</v>
      </c>
      <c r="B433">
        <v>35.008000000000003</v>
      </c>
      <c r="C433">
        <v>-99.051000000000002</v>
      </c>
      <c r="D433" t="s">
        <v>1334</v>
      </c>
      <c r="E433">
        <v>1</v>
      </c>
      <c r="F433" s="7">
        <v>1</v>
      </c>
      <c r="G433">
        <f>20.5/2</f>
        <v>10.25</v>
      </c>
      <c r="H433" s="5">
        <f t="shared" ref="H433:H444" si="11">3.14*G433*G433/8</f>
        <v>41.237031250000001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f>0.5/H433</f>
        <v>1.2125024155321559E-2</v>
      </c>
    </row>
    <row r="434" spans="1:16" hidden="1" x14ac:dyDescent="0.25">
      <c r="A434" t="s">
        <v>646</v>
      </c>
      <c r="B434">
        <v>35.017000000000003</v>
      </c>
      <c r="C434">
        <v>-80.620999999999995</v>
      </c>
      <c r="D434" t="s">
        <v>1535</v>
      </c>
      <c r="E434" s="5">
        <v>1</v>
      </c>
      <c r="F434" s="7">
        <v>1</v>
      </c>
      <c r="G434">
        <f>23/2</f>
        <v>11.5</v>
      </c>
      <c r="H434" s="5">
        <f t="shared" si="11"/>
        <v>51.908124999999998</v>
      </c>
      <c r="I434">
        <f>1.3*2/H434</f>
        <v>5.0088497706283944E-2</v>
      </c>
      <c r="J434">
        <f>2.4*6.5/2/H434</f>
        <v>0.15026549311885182</v>
      </c>
      <c r="K434">
        <f>5.5*11/2/H434</f>
        <v>0.58276040600580359</v>
      </c>
      <c r="L434">
        <f>3.8*4.5/2/H434</f>
        <v>0.16471409822643371</v>
      </c>
      <c r="M434">
        <f>9.5*8/2/H434</f>
        <v>0.73206265878414989</v>
      </c>
      <c r="N434">
        <f>8.5*3/2/H434</f>
        <v>0.2456262868288924</v>
      </c>
      <c r="O434">
        <f>4*3/H434</f>
        <v>0.23117768172131051</v>
      </c>
      <c r="P434">
        <f>10/H434</f>
        <v>0.19264806810109208</v>
      </c>
    </row>
    <row r="435" spans="1:16" hidden="1" x14ac:dyDescent="0.25">
      <c r="A435" t="s">
        <v>73</v>
      </c>
      <c r="B435" s="5">
        <v>35.021999999999998</v>
      </c>
      <c r="C435" s="5">
        <v>-110.72199999999999</v>
      </c>
      <c r="D435" s="5" t="s">
        <v>1615</v>
      </c>
      <c r="E435" s="5">
        <v>1</v>
      </c>
      <c r="F435" s="7">
        <v>1</v>
      </c>
      <c r="G435">
        <f>23.5/2</f>
        <v>11.75</v>
      </c>
      <c r="H435" s="5">
        <f t="shared" si="11"/>
        <v>54.189531250000002</v>
      </c>
      <c r="I435">
        <v>0</v>
      </c>
      <c r="J435">
        <v>0</v>
      </c>
      <c r="K435">
        <f>2.4/H435</f>
        <v>4.4288997240587866E-2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idden="1" x14ac:dyDescent="0.25">
      <c r="A436" t="s">
        <v>951</v>
      </c>
      <c r="B436" s="5">
        <v>35.033000000000001</v>
      </c>
      <c r="C436" s="5">
        <v>-85.2</v>
      </c>
      <c r="D436" s="5" t="s">
        <v>1540</v>
      </c>
      <c r="E436" s="5">
        <v>1</v>
      </c>
      <c r="F436" s="7">
        <v>1</v>
      </c>
      <c r="G436">
        <f>23/2</f>
        <v>11.5</v>
      </c>
      <c r="H436" s="5">
        <f t="shared" si="11"/>
        <v>51.908124999999998</v>
      </c>
      <c r="I436">
        <v>0</v>
      </c>
      <c r="J436">
        <f>1.3*2.5/H436</f>
        <v>6.2610622132854926E-2</v>
      </c>
      <c r="K436">
        <f>3/H436</f>
        <v>5.7794420430327627E-2</v>
      </c>
      <c r="L436">
        <f>4.5/H436</f>
        <v>8.669163064549143E-2</v>
      </c>
      <c r="M436">
        <f>9.5*6/2/H436</f>
        <v>0.54904699408811242</v>
      </c>
      <c r="N436">
        <v>0</v>
      </c>
      <c r="O436">
        <v>0</v>
      </c>
      <c r="P436">
        <v>0</v>
      </c>
    </row>
    <row r="437" spans="1:16" hidden="1" x14ac:dyDescent="0.25">
      <c r="A437" t="s">
        <v>624</v>
      </c>
      <c r="B437">
        <v>35.036000000000001</v>
      </c>
      <c r="C437">
        <v>-79.498000000000005</v>
      </c>
      <c r="D437" t="s">
        <v>1493</v>
      </c>
      <c r="E437">
        <v>1</v>
      </c>
      <c r="F437" s="7">
        <v>0</v>
      </c>
      <c r="G437">
        <f>24.5/2</f>
        <v>12.25</v>
      </c>
      <c r="H437" s="5">
        <f t="shared" si="11"/>
        <v>58.899531250000003</v>
      </c>
      <c r="I437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</row>
    <row r="438" spans="1:16" hidden="1" x14ac:dyDescent="0.25">
      <c r="A438" t="s">
        <v>725</v>
      </c>
      <c r="B438">
        <v>35.042000000000002</v>
      </c>
      <c r="C438">
        <v>-106.616</v>
      </c>
      <c r="D438" t="s">
        <v>1606</v>
      </c>
      <c r="E438" s="5">
        <v>1</v>
      </c>
      <c r="F438" s="7">
        <v>1</v>
      </c>
      <c r="G438">
        <f>25.5</f>
        <v>25.5</v>
      </c>
      <c r="H438" s="5">
        <f t="shared" si="11"/>
        <v>255.22312500000001</v>
      </c>
      <c r="I438">
        <v>0</v>
      </c>
      <c r="J438">
        <v>0</v>
      </c>
      <c r="K438">
        <f>0.5*0.2/H438</f>
        <v>3.9181402547280934E-4</v>
      </c>
      <c r="L438">
        <v>0</v>
      </c>
      <c r="M438">
        <f>2.5*2/2/H438</f>
        <v>9.7953506368202332E-3</v>
      </c>
      <c r="N438">
        <f>6.4*3.6/2/H438</f>
        <v>4.5136975734467635E-2</v>
      </c>
      <c r="O438">
        <v>0</v>
      </c>
      <c r="P438">
        <v>0</v>
      </c>
    </row>
    <row r="439" spans="1:16" hidden="1" x14ac:dyDescent="0.25">
      <c r="A439" t="s">
        <v>957</v>
      </c>
      <c r="B439">
        <v>35.061</v>
      </c>
      <c r="C439">
        <v>-89.984999999999999</v>
      </c>
      <c r="D439" t="s">
        <v>1550</v>
      </c>
      <c r="E439">
        <v>1</v>
      </c>
      <c r="F439" s="7">
        <v>1</v>
      </c>
      <c r="G439">
        <v>12</v>
      </c>
      <c r="H439" s="5">
        <f t="shared" si="11"/>
        <v>56.519999999999996</v>
      </c>
      <c r="I439">
        <v>0</v>
      </c>
      <c r="J439">
        <v>0</v>
      </c>
      <c r="K439">
        <v>0</v>
      </c>
      <c r="L439">
        <f>2.5*4/H439</f>
        <v>0.17692852087756547</v>
      </c>
      <c r="M439">
        <v>0</v>
      </c>
      <c r="N439">
        <v>0</v>
      </c>
      <c r="O439">
        <v>0</v>
      </c>
      <c r="P439">
        <v>0</v>
      </c>
    </row>
    <row r="440" spans="1:16" hidden="1" x14ac:dyDescent="0.25">
      <c r="A440" t="s">
        <v>633</v>
      </c>
      <c r="B440" s="5">
        <v>35.067999999999998</v>
      </c>
      <c r="C440" s="5">
        <v>-77.046999999999997</v>
      </c>
      <c r="D440" t="s">
        <v>1507</v>
      </c>
      <c r="E440" s="5">
        <v>1</v>
      </c>
      <c r="F440" s="7">
        <v>1</v>
      </c>
      <c r="G440">
        <f>20.5/2</f>
        <v>10.25</v>
      </c>
      <c r="H440" s="5">
        <f t="shared" si="11"/>
        <v>41.237031250000001</v>
      </c>
      <c r="I440">
        <v>0</v>
      </c>
      <c r="J440">
        <v>0</v>
      </c>
      <c r="K440">
        <f>1.8*7/2/H440</f>
        <v>0.15277530435705164</v>
      </c>
      <c r="L440">
        <f>7/H440</f>
        <v>0.16975033817450183</v>
      </c>
      <c r="M440">
        <v>0</v>
      </c>
      <c r="N440">
        <v>0</v>
      </c>
      <c r="O440">
        <v>0</v>
      </c>
      <c r="P440">
        <v>0</v>
      </c>
    </row>
    <row r="441" spans="1:16" hidden="1" x14ac:dyDescent="0.25">
      <c r="A441" t="s">
        <v>648</v>
      </c>
      <c r="B441">
        <v>35.131999999999998</v>
      </c>
      <c r="C441">
        <v>-78.936999999999998</v>
      </c>
      <c r="D441" s="5" t="s">
        <v>2263</v>
      </c>
      <c r="E441" s="5">
        <v>1</v>
      </c>
      <c r="F441" s="7">
        <v>0</v>
      </c>
      <c r="G441">
        <v>11</v>
      </c>
      <c r="H441" s="5">
        <f t="shared" si="11"/>
        <v>47.4925</v>
      </c>
      <c r="I441">
        <f>3/H441</f>
        <v>6.3167868610833289E-2</v>
      </c>
      <c r="J441">
        <f>1.5/H441</f>
        <v>3.1583934305416644E-2</v>
      </c>
      <c r="K441">
        <v>0</v>
      </c>
      <c r="L441">
        <f>6.5*4/2/H441</f>
        <v>0.27372743064694427</v>
      </c>
      <c r="M441">
        <f>5*3.5/H441</f>
        <v>0.36847923356319418</v>
      </c>
      <c r="N441">
        <v>0</v>
      </c>
      <c r="O441">
        <v>0</v>
      </c>
      <c r="P441">
        <f>4.5*4/2/H441</f>
        <v>0.18950360583249987</v>
      </c>
    </row>
    <row r="442" spans="1:16" hidden="1" x14ac:dyDescent="0.25">
      <c r="A442" t="s">
        <v>26</v>
      </c>
      <c r="B442" s="5">
        <v>35.134999999999998</v>
      </c>
      <c r="C442" s="5">
        <v>-90.233999999999995</v>
      </c>
      <c r="D442" s="5" t="s">
        <v>1244</v>
      </c>
      <c r="E442" s="5">
        <v>1</v>
      </c>
      <c r="F442" s="7">
        <v>1</v>
      </c>
      <c r="G442">
        <f>23.5/2</f>
        <v>11.75</v>
      </c>
      <c r="H442" s="5">
        <f t="shared" si="11"/>
        <v>54.189531250000002</v>
      </c>
      <c r="I442">
        <f>6.5*6.5/2/H442</f>
        <v>0.38983544446142443</v>
      </c>
      <c r="J442">
        <v>0</v>
      </c>
      <c r="K442">
        <v>0</v>
      </c>
      <c r="L442">
        <v>0</v>
      </c>
      <c r="M442">
        <f>0.5/H442</f>
        <v>9.2268744251224714E-3</v>
      </c>
      <c r="N442">
        <f>(H442-10.5)/H442</f>
        <v>0.80623563707242807</v>
      </c>
      <c r="O442">
        <f>12*3.5/2/H442</f>
        <v>0.38752872585514381</v>
      </c>
      <c r="P442">
        <f>8.5*3.5/2/H442</f>
        <v>0.27449951414739354</v>
      </c>
    </row>
    <row r="443" spans="1:16" hidden="1" x14ac:dyDescent="0.25">
      <c r="A443" t="s">
        <v>75</v>
      </c>
      <c r="B443" s="1">
        <v>35.14</v>
      </c>
      <c r="C443" s="1">
        <v>-111.672</v>
      </c>
      <c r="D443" s="1" t="s">
        <v>1617</v>
      </c>
      <c r="E443">
        <v>1</v>
      </c>
      <c r="F443" s="7">
        <v>1</v>
      </c>
      <c r="G443">
        <v>12.5</v>
      </c>
      <c r="H443" s="5">
        <f t="shared" si="11"/>
        <v>61.328125</v>
      </c>
      <c r="I443">
        <f>6*6/2/H443</f>
        <v>0.29350318471337578</v>
      </c>
      <c r="J443">
        <v>0</v>
      </c>
      <c r="K443">
        <f>3.5*4.5/2/H443</f>
        <v>0.12840764331210192</v>
      </c>
      <c r="L443">
        <f>5.5*7/2/H443</f>
        <v>0.31388535031847131</v>
      </c>
      <c r="M443">
        <f>4*4/2/H443</f>
        <v>0.13044585987261145</v>
      </c>
      <c r="N443">
        <f>2/H443</f>
        <v>3.2611464968152863E-2</v>
      </c>
      <c r="O443">
        <f>8*5.5/2/H443</f>
        <v>0.35872611464968152</v>
      </c>
      <c r="P443">
        <f>7.5*7/2/H443</f>
        <v>0.42802547770700639</v>
      </c>
    </row>
    <row r="444" spans="1:16" hidden="1" x14ac:dyDescent="0.25">
      <c r="A444" t="s">
        <v>77</v>
      </c>
      <c r="B444" s="1">
        <v>35.14</v>
      </c>
      <c r="C444" s="1">
        <v>-111.672</v>
      </c>
      <c r="D444" s="1" t="s">
        <v>1617</v>
      </c>
      <c r="E444" s="5">
        <v>1</v>
      </c>
      <c r="F444" s="7">
        <v>1</v>
      </c>
      <c r="G444">
        <v>12.5</v>
      </c>
      <c r="H444" s="5">
        <f t="shared" si="11"/>
        <v>61.328125</v>
      </c>
      <c r="I444">
        <f>6*6/2/H444</f>
        <v>0.29350318471337578</v>
      </c>
      <c r="J444">
        <v>0</v>
      </c>
      <c r="K444">
        <f>3.5*4.5/2/H444</f>
        <v>0.12840764331210192</v>
      </c>
      <c r="L444">
        <f>5.5*7/2/H444</f>
        <v>0.31388535031847131</v>
      </c>
      <c r="M444">
        <f>4*4/2/H444</f>
        <v>0.13044585987261145</v>
      </c>
      <c r="N444">
        <f>2/H444</f>
        <v>3.2611464968152863E-2</v>
      </c>
      <c r="O444">
        <f>8*5.5/2/H444</f>
        <v>0.35872611464968152</v>
      </c>
      <c r="P444">
        <f>7.5*7/2/H444</f>
        <v>0.42802547770700639</v>
      </c>
    </row>
    <row r="445" spans="1:16" x14ac:dyDescent="0.25">
      <c r="A445" t="s">
        <v>620</v>
      </c>
      <c r="B445" s="5">
        <v>35.14</v>
      </c>
      <c r="C445" s="5">
        <v>-78.95</v>
      </c>
      <c r="D445" s="5" t="s">
        <v>1202</v>
      </c>
      <c r="E445" s="5">
        <v>1</v>
      </c>
      <c r="F445" s="7">
        <v>0</v>
      </c>
      <c r="G445">
        <v>10.199999999999999</v>
      </c>
      <c r="H445" s="5">
        <f t="shared" ref="H445:H446" si="12">3.14*G445*G445/8</f>
        <v>40.835699999999996</v>
      </c>
      <c r="I445">
        <f>2.5/H445</f>
        <v>6.1220941480126467E-2</v>
      </c>
      <c r="J445">
        <f>0.7/H445</f>
        <v>1.7141863614435409E-2</v>
      </c>
      <c r="K445">
        <v>0</v>
      </c>
      <c r="L445">
        <f>6.5*4/2/H445</f>
        <v>0.31834889569665764</v>
      </c>
      <c r="M445">
        <f>3*3/H445</f>
        <v>0.22039538932845526</v>
      </c>
      <c r="N445">
        <v>0</v>
      </c>
      <c r="O445">
        <v>0</v>
      </c>
      <c r="P445">
        <f>4*4/H445/2</f>
        <v>0.19590701273640468</v>
      </c>
    </row>
    <row r="446" spans="1:16" x14ac:dyDescent="0.25">
      <c r="A446" t="s">
        <v>723</v>
      </c>
      <c r="B446" s="5">
        <v>35.164999999999999</v>
      </c>
      <c r="C446" s="5">
        <v>-107.902</v>
      </c>
      <c r="D446" s="5" t="s">
        <v>1601</v>
      </c>
      <c r="E446" s="5">
        <v>1</v>
      </c>
      <c r="F446" s="7">
        <v>1</v>
      </c>
      <c r="G446">
        <v>11.25</v>
      </c>
      <c r="H446" s="5">
        <f t="shared" si="12"/>
        <v>49.675781250000007</v>
      </c>
      <c r="I446">
        <v>0</v>
      </c>
      <c r="J446">
        <f>2/H446</f>
        <v>4.0261067861917112E-2</v>
      </c>
      <c r="K446">
        <f>1.5/H446</f>
        <v>3.0195800896437835E-2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x14ac:dyDescent="0.25">
      <c r="A447" t="s">
        <v>623</v>
      </c>
      <c r="B447">
        <v>35.170999999999999</v>
      </c>
      <c r="C447">
        <v>-79.013999999999996</v>
      </c>
      <c r="D447" t="s">
        <v>1492</v>
      </c>
      <c r="E447" s="5">
        <v>1</v>
      </c>
      <c r="F447" s="7">
        <v>1</v>
      </c>
      <c r="G447">
        <v>11</v>
      </c>
      <c r="H447" s="5">
        <f t="shared" ref="H447:H510" si="13">3.14*G447*G447/8</f>
        <v>47.4925</v>
      </c>
      <c r="I447">
        <f>8.5*5.5/2/H447</f>
        <v>0.49218297625940938</v>
      </c>
      <c r="J447">
        <f>6.5*3.5/2/H447</f>
        <v>0.23951150181607622</v>
      </c>
      <c r="K447">
        <v>0</v>
      </c>
      <c r="L447">
        <v>0</v>
      </c>
      <c r="M447">
        <v>0</v>
      </c>
      <c r="N447">
        <f>1.5/H447</f>
        <v>3.1583934305416644E-2</v>
      </c>
      <c r="O447">
        <f>6.5*8.5/2/H447</f>
        <v>0.58167079012475653</v>
      </c>
      <c r="P447">
        <f>8.5*6/2/H447</f>
        <v>0.53692688319208293</v>
      </c>
    </row>
    <row r="448" spans="1:16" x14ac:dyDescent="0.25">
      <c r="A448" t="s">
        <v>729</v>
      </c>
      <c r="B448">
        <v>35.182000000000002</v>
      </c>
      <c r="C448">
        <v>-103.60299999999999</v>
      </c>
      <c r="D448" t="s">
        <v>1609</v>
      </c>
      <c r="E448" s="5">
        <v>1</v>
      </c>
      <c r="F448" s="7">
        <v>1</v>
      </c>
      <c r="G448">
        <v>11.5</v>
      </c>
      <c r="H448" s="5">
        <f t="shared" si="13"/>
        <v>51.908124999999998</v>
      </c>
      <c r="I448">
        <f>8.5/H448</f>
        <v>0.16375085788592827</v>
      </c>
      <c r="J448">
        <f>6/H448</f>
        <v>0.11558884086065525</v>
      </c>
      <c r="K448">
        <f>3/H448</f>
        <v>5.7794420430327627E-2</v>
      </c>
      <c r="L448">
        <f>6.5*4/2/H448</f>
        <v>0.2504424885314197</v>
      </c>
      <c r="M448">
        <f>6*2.5/2/H448</f>
        <v>0.14448605107581905</v>
      </c>
      <c r="N448">
        <f>3/H448</f>
        <v>5.7794420430327627E-2</v>
      </c>
      <c r="O448">
        <v>0</v>
      </c>
      <c r="P448">
        <v>0</v>
      </c>
    </row>
    <row r="449" spans="1:16" x14ac:dyDescent="0.25">
      <c r="A449" t="s">
        <v>641</v>
      </c>
      <c r="B449" s="5">
        <v>35.197000000000003</v>
      </c>
      <c r="C449" s="5">
        <v>-81.156000000000006</v>
      </c>
      <c r="D449" s="5" t="s">
        <v>1527</v>
      </c>
      <c r="E449" s="5">
        <v>1</v>
      </c>
      <c r="F449" s="7">
        <v>1</v>
      </c>
      <c r="G449">
        <v>10</v>
      </c>
      <c r="H449" s="5">
        <f t="shared" si="13"/>
        <v>39.25</v>
      </c>
      <c r="I449">
        <f>3.5*5.5/2/H449</f>
        <v>0.24522292993630573</v>
      </c>
      <c r="J449">
        <v>0</v>
      </c>
      <c r="K449">
        <f>5.5*2.5/2/H449</f>
        <v>0.1751592356687898</v>
      </c>
      <c r="L449">
        <f>(H449-4.5*5.5/2)/H449</f>
        <v>0.6847133757961783</v>
      </c>
      <c r="M449">
        <f>(H449-3.5*3/2)/H449</f>
        <v>0.86624203821656054</v>
      </c>
      <c r="N449">
        <f>(H449-2.3*3/2)/H449</f>
        <v>0.91210191082802539</v>
      </c>
      <c r="O449">
        <f>(H449-3*3.5/2)/H449</f>
        <v>0.86624203821656054</v>
      </c>
      <c r="P449">
        <f>(H449-3.5*4/2)/H449</f>
        <v>0.82165605095541405</v>
      </c>
    </row>
    <row r="450" spans="1:16" x14ac:dyDescent="0.25">
      <c r="A450" t="s">
        <v>27</v>
      </c>
      <c r="B450" s="5">
        <v>35.212000000000003</v>
      </c>
      <c r="C450" s="5">
        <v>-91.736999999999995</v>
      </c>
      <c r="D450" s="5" t="s">
        <v>1291</v>
      </c>
      <c r="E450" s="5">
        <v>1</v>
      </c>
      <c r="F450" s="7">
        <v>1</v>
      </c>
      <c r="G450">
        <f>21.8/2</f>
        <v>10.9</v>
      </c>
      <c r="H450" s="5">
        <f t="shared" si="13"/>
        <v>46.632925</v>
      </c>
      <c r="I450">
        <f>1.4/H450</f>
        <v>3.0021706766195772E-2</v>
      </c>
      <c r="J450">
        <v>0</v>
      </c>
      <c r="K450">
        <f>0.8/H450</f>
        <v>1.7155261009254727E-2</v>
      </c>
      <c r="L450">
        <v>0</v>
      </c>
      <c r="M450">
        <v>0</v>
      </c>
      <c r="N450">
        <f>6*3.5/2/H450</f>
        <v>0.2251628007464683</v>
      </c>
      <c r="O450">
        <f>3.5*3/2/H450</f>
        <v>0.11258140037323415</v>
      </c>
      <c r="P450">
        <f>5*3.5/2/H450</f>
        <v>0.18763566728872358</v>
      </c>
    </row>
    <row r="451" spans="1:16" x14ac:dyDescent="0.25">
      <c r="A451" t="s">
        <v>639</v>
      </c>
      <c r="B451" s="5">
        <v>35.213999999999999</v>
      </c>
      <c r="C451" s="5">
        <v>-80.944000000000003</v>
      </c>
      <c r="D451" s="5" t="s">
        <v>1525</v>
      </c>
      <c r="E451" s="5">
        <v>1</v>
      </c>
      <c r="F451" s="7">
        <v>1</v>
      </c>
      <c r="G451">
        <f>22.5/2</f>
        <v>11.25</v>
      </c>
      <c r="H451" s="5">
        <f t="shared" si="13"/>
        <v>49.675781250000007</v>
      </c>
      <c r="I451">
        <v>0</v>
      </c>
      <c r="J451">
        <f>1.2/H451</f>
        <v>2.4156640717150266E-2</v>
      </c>
      <c r="K451">
        <f>2/H451</f>
        <v>4.0261067861917112E-2</v>
      </c>
      <c r="L451">
        <v>0</v>
      </c>
      <c r="M451">
        <v>0</v>
      </c>
      <c r="N451">
        <v>0</v>
      </c>
      <c r="O451">
        <v>0</v>
      </c>
      <c r="P451">
        <f>1/H451</f>
        <v>2.0130533930958556E-2</v>
      </c>
    </row>
    <row r="452" spans="1:16" x14ac:dyDescent="0.25">
      <c r="A452" t="s">
        <v>1044</v>
      </c>
      <c r="B452" s="5">
        <v>35.219000000000001</v>
      </c>
      <c r="C452" s="5">
        <v>-101.706</v>
      </c>
      <c r="D452" s="5" t="s">
        <v>1604</v>
      </c>
      <c r="E452">
        <v>1</v>
      </c>
      <c r="F452" s="7">
        <v>1</v>
      </c>
      <c r="G452">
        <f>20.5/2</f>
        <v>10.25</v>
      </c>
      <c r="H452" s="5">
        <f t="shared" si="13"/>
        <v>41.237031250000001</v>
      </c>
      <c r="I452">
        <f>0.5/H452</f>
        <v>1.2125024155321559E-2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f>2/H452</f>
        <v>4.8500096621286237E-2</v>
      </c>
    </row>
    <row r="453" spans="1:16" x14ac:dyDescent="0.25">
      <c r="A453" t="s">
        <v>627</v>
      </c>
      <c r="B453" s="1">
        <v>35.231999999999999</v>
      </c>
      <c r="C453" s="1">
        <v>-75.623000000000005</v>
      </c>
      <c r="D453" t="s">
        <v>2330</v>
      </c>
      <c r="E453" s="5">
        <v>1</v>
      </c>
      <c r="F453" s="7">
        <v>0</v>
      </c>
      <c r="G453" s="5">
        <v>11.1</v>
      </c>
      <c r="H453" s="5">
        <f t="shared" ref="H453" si="14">3.14*G453*G453/8</f>
        <v>48.359924999999997</v>
      </c>
      <c r="I453" s="5">
        <f>(H453-3.5*4/2)/H453</f>
        <v>0.85525205012207939</v>
      </c>
      <c r="J453" s="5">
        <f>5*6/2/H453</f>
        <v>0.31017417830982991</v>
      </c>
      <c r="K453" s="5">
        <f>5*3/2/H453</f>
        <v>0.15508708915491495</v>
      </c>
      <c r="L453" s="5">
        <f>1/H453</f>
        <v>2.0678278553988662E-2</v>
      </c>
      <c r="M453" s="5">
        <f>1/H453</f>
        <v>2.0678278553988662E-2</v>
      </c>
      <c r="N453" s="5">
        <f>0.5/H453</f>
        <v>1.0339139276994331E-2</v>
      </c>
      <c r="O453" s="5">
        <f>6.5*3/2/H453</f>
        <v>0.20161321590138945</v>
      </c>
      <c r="P453" s="5">
        <f>(H453-6.5*3/2)/H453</f>
        <v>0.79838678409861052</v>
      </c>
    </row>
    <row r="454" spans="1:16" x14ac:dyDescent="0.25">
      <c r="A454" t="s">
        <v>638</v>
      </c>
      <c r="B454" s="1">
        <v>35.231999999999999</v>
      </c>
      <c r="C454" s="1">
        <v>-75.623000000000005</v>
      </c>
      <c r="D454" s="5" t="s">
        <v>1524</v>
      </c>
      <c r="E454" s="5">
        <v>1</v>
      </c>
      <c r="F454" s="7">
        <v>0</v>
      </c>
      <c r="G454">
        <v>11.1</v>
      </c>
      <c r="H454" s="5">
        <f t="shared" si="13"/>
        <v>48.359924999999997</v>
      </c>
      <c r="I454">
        <f>(H454-3.5*4/2)/H454</f>
        <v>0.85525205012207939</v>
      </c>
      <c r="J454">
        <f>5*6/2/H454</f>
        <v>0.31017417830982991</v>
      </c>
      <c r="K454">
        <f>5*3/2/H454</f>
        <v>0.15508708915491495</v>
      </c>
      <c r="L454">
        <f>1/H454</f>
        <v>2.0678278553988662E-2</v>
      </c>
      <c r="M454">
        <f>1/H454</f>
        <v>2.0678278553988662E-2</v>
      </c>
      <c r="N454">
        <f>0.5/H454</f>
        <v>1.0339139276994331E-2</v>
      </c>
      <c r="O454">
        <f>6.5*3/2/H454</f>
        <v>0.20161321590138945</v>
      </c>
      <c r="P454">
        <f>(H454-6.5*3/2)/H454</f>
        <v>0.79838678409861052</v>
      </c>
    </row>
    <row r="455" spans="1:16" hidden="1" x14ac:dyDescent="0.25">
      <c r="A455" t="s">
        <v>98</v>
      </c>
      <c r="B455" s="5">
        <v>35.237000000000002</v>
      </c>
      <c r="C455" s="5">
        <v>-120.64100000000001</v>
      </c>
      <c r="D455" s="5" t="s">
        <v>1465</v>
      </c>
      <c r="E455">
        <v>1</v>
      </c>
      <c r="F455" s="7">
        <v>1</v>
      </c>
      <c r="G455">
        <f>18.5/2</f>
        <v>9.25</v>
      </c>
      <c r="H455" s="5">
        <f t="shared" si="13"/>
        <v>33.583281249999999</v>
      </c>
      <c r="I455">
        <v>0</v>
      </c>
      <c r="J455">
        <f>7.5*1.5/2/H455</f>
        <v>0.16749405628730815</v>
      </c>
      <c r="K455">
        <f>4*5.5/2/H455</f>
        <v>0.32754393229518036</v>
      </c>
      <c r="L455">
        <f>1/H455</f>
        <v>2.9776721117743672E-2</v>
      </c>
      <c r="M455">
        <f>5*3.4/2/H455</f>
        <v>0.25310212950082117</v>
      </c>
      <c r="N455">
        <f>4.5*4/2/H455</f>
        <v>0.26799049005969305</v>
      </c>
      <c r="O455">
        <f>4/H455</f>
        <v>0.11910688447097469</v>
      </c>
      <c r="P455">
        <f>5/H455</f>
        <v>0.14888360558871835</v>
      </c>
    </row>
    <row r="456" spans="1:16" hidden="1" x14ac:dyDescent="0.25">
      <c r="A456" t="s">
        <v>40</v>
      </c>
      <c r="B456" s="5">
        <v>35.258000000000003</v>
      </c>
      <c r="C456" s="5">
        <v>-93.094999999999999</v>
      </c>
      <c r="D456" s="5" t="s">
        <v>1566</v>
      </c>
      <c r="E456">
        <v>1</v>
      </c>
      <c r="F456" s="7">
        <v>1</v>
      </c>
      <c r="G456">
        <f>21.7/2</f>
        <v>10.85</v>
      </c>
      <c r="H456" s="5">
        <f t="shared" si="13"/>
        <v>46.206081250000004</v>
      </c>
      <c r="I456">
        <f>4.7*4/2/H456</f>
        <v>0.2034364253731212</v>
      </c>
      <c r="J456">
        <f>1/H456</f>
        <v>2.1642172912034168E-2</v>
      </c>
      <c r="K456">
        <f>10.5*5.4/2/H456</f>
        <v>0.61355560205616877</v>
      </c>
      <c r="L456">
        <f>6*6/2/H456</f>
        <v>0.38955911241661506</v>
      </c>
      <c r="M456">
        <f>5/H456</f>
        <v>0.10821086456017084</v>
      </c>
      <c r="N456">
        <f>9*4/2/H456</f>
        <v>0.38955911241661506</v>
      </c>
      <c r="O456">
        <f>6.5*2.5/H456</f>
        <v>0.35168530982055524</v>
      </c>
      <c r="P456">
        <f>6*3.5/2/H456</f>
        <v>0.22724281557635878</v>
      </c>
    </row>
    <row r="457" spans="1:16" hidden="1" x14ac:dyDescent="0.25">
      <c r="A457" t="s">
        <v>69</v>
      </c>
      <c r="B457" s="5">
        <v>35.259</v>
      </c>
      <c r="C457" s="5">
        <v>-113.937</v>
      </c>
      <c r="D457" s="5" t="s">
        <v>1611</v>
      </c>
      <c r="E457" s="5">
        <v>1</v>
      </c>
      <c r="F457" s="7">
        <v>0</v>
      </c>
      <c r="G457">
        <f>25.7/2</f>
        <v>12.85</v>
      </c>
      <c r="H457" s="5">
        <f t="shared" si="13"/>
        <v>64.810581249999998</v>
      </c>
      <c r="I457">
        <f>2/H457</f>
        <v>3.0859158511250043E-2</v>
      </c>
      <c r="J457">
        <v>0</v>
      </c>
      <c r="K457" s="5">
        <v>0</v>
      </c>
      <c r="L457" s="5">
        <v>0</v>
      </c>
      <c r="M457" s="5">
        <v>0</v>
      </c>
      <c r="N457" s="5">
        <v>0</v>
      </c>
      <c r="O457">
        <f>2/H457</f>
        <v>3.0859158511250043E-2</v>
      </c>
      <c r="P457">
        <f>6/H457</f>
        <v>9.2577475533750134E-2</v>
      </c>
    </row>
    <row r="458" spans="1:16" hidden="1" x14ac:dyDescent="0.25">
      <c r="A458" t="s">
        <v>190</v>
      </c>
      <c r="B458" s="1">
        <v>35.280999999999999</v>
      </c>
      <c r="C458" s="1">
        <v>-116.63</v>
      </c>
      <c r="D458" s="5" t="s">
        <v>2255</v>
      </c>
      <c r="E458" s="5">
        <v>1</v>
      </c>
      <c r="F458" s="7">
        <v>0</v>
      </c>
      <c r="G458">
        <f>20.7/2</f>
        <v>10.35</v>
      </c>
      <c r="H458" s="5">
        <f t="shared" si="13"/>
        <v>42.045581250000005</v>
      </c>
      <c r="I458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</row>
    <row r="459" spans="1:16" hidden="1" x14ac:dyDescent="0.25">
      <c r="A459" t="s">
        <v>134</v>
      </c>
      <c r="B459" s="1">
        <v>35.283000000000001</v>
      </c>
      <c r="C459" s="1">
        <v>-116.617</v>
      </c>
      <c r="D459" s="5" t="s">
        <v>1197</v>
      </c>
      <c r="E459" s="5">
        <v>1</v>
      </c>
      <c r="F459" s="7">
        <v>0</v>
      </c>
      <c r="G459" s="5">
        <f>20.7/2</f>
        <v>10.35</v>
      </c>
      <c r="H459" s="5">
        <f t="shared" si="13"/>
        <v>42.045581250000005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</row>
    <row r="460" spans="1:16" hidden="1" x14ac:dyDescent="0.25">
      <c r="A460" t="s">
        <v>44</v>
      </c>
      <c r="B460" s="5">
        <v>35.334000000000003</v>
      </c>
      <c r="C460" s="5">
        <v>-94.364999999999995</v>
      </c>
      <c r="D460" s="5" t="s">
        <v>1570</v>
      </c>
      <c r="E460" s="5">
        <v>1</v>
      </c>
      <c r="F460" s="7">
        <v>1</v>
      </c>
      <c r="G460">
        <v>11.5</v>
      </c>
      <c r="H460" s="5">
        <f t="shared" si="13"/>
        <v>51.908124999999998</v>
      </c>
      <c r="I460">
        <v>0</v>
      </c>
      <c r="J460">
        <v>0</v>
      </c>
      <c r="K460">
        <f>1.5*1.5/H460</f>
        <v>4.3345815322745715E-2</v>
      </c>
      <c r="L460">
        <f>8.5*6/2/H460</f>
        <v>0.4912525736577848</v>
      </c>
      <c r="M460">
        <f>8.5*5.5/2/H460</f>
        <v>0.45031485918630276</v>
      </c>
      <c r="N460">
        <v>0</v>
      </c>
      <c r="O460">
        <v>0</v>
      </c>
      <c r="P460">
        <v>0</v>
      </c>
    </row>
    <row r="461" spans="1:16" hidden="1" x14ac:dyDescent="0.25">
      <c r="A461" t="s">
        <v>630</v>
      </c>
      <c r="B461" s="5">
        <v>35.338999999999999</v>
      </c>
      <c r="C461" s="5">
        <v>-77.960999999999999</v>
      </c>
      <c r="D461" s="5" t="s">
        <v>1498</v>
      </c>
      <c r="E461" s="5">
        <v>1</v>
      </c>
      <c r="F461" s="7">
        <v>0</v>
      </c>
      <c r="G461">
        <v>11</v>
      </c>
      <c r="H461" s="5">
        <f t="shared" si="13"/>
        <v>47.4925</v>
      </c>
      <c r="I461">
        <v>0</v>
      </c>
      <c r="J461">
        <v>0</v>
      </c>
      <c r="K461">
        <f>1/H461</f>
        <v>2.1055956203611097E-2</v>
      </c>
      <c r="L461">
        <f>1.3/H461</f>
        <v>2.7372743064694425E-2</v>
      </c>
      <c r="M461">
        <v>0</v>
      </c>
      <c r="N461">
        <f>3/H461</f>
        <v>6.3167868610833289E-2</v>
      </c>
      <c r="O461">
        <v>0</v>
      </c>
      <c r="P461">
        <v>0</v>
      </c>
    </row>
    <row r="462" spans="1:16" hidden="1" x14ac:dyDescent="0.25">
      <c r="A462" t="s">
        <v>829</v>
      </c>
      <c r="B462" s="5">
        <v>35.340000000000003</v>
      </c>
      <c r="C462" s="5">
        <v>-99.2</v>
      </c>
      <c r="D462" s="5" t="s">
        <v>1580</v>
      </c>
      <c r="E462" s="5">
        <v>1</v>
      </c>
      <c r="F462" s="7">
        <v>0</v>
      </c>
      <c r="G462">
        <f>21.5/2</f>
        <v>10.75</v>
      </c>
      <c r="H462" s="5">
        <f t="shared" si="13"/>
        <v>45.358281250000005</v>
      </c>
      <c r="I462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</row>
    <row r="463" spans="1:16" hidden="1" x14ac:dyDescent="0.25">
      <c r="A463" t="s">
        <v>958</v>
      </c>
      <c r="B463" s="5">
        <v>35.356999999999999</v>
      </c>
      <c r="C463" s="5">
        <v>-89.87</v>
      </c>
      <c r="D463" s="5" t="s">
        <v>1551</v>
      </c>
      <c r="E463" s="5">
        <v>1</v>
      </c>
      <c r="F463" s="7">
        <v>0</v>
      </c>
      <c r="G463">
        <f>20.4/2</f>
        <v>10.199999999999999</v>
      </c>
      <c r="H463" s="5">
        <f t="shared" si="13"/>
        <v>40.835699999999996</v>
      </c>
      <c r="I463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</row>
    <row r="464" spans="1:16" hidden="1" x14ac:dyDescent="0.25">
      <c r="A464" t="s">
        <v>832</v>
      </c>
      <c r="B464" s="5">
        <v>35.389000000000003</v>
      </c>
      <c r="C464" s="5">
        <v>-97.6</v>
      </c>
      <c r="D464" s="5" t="s">
        <v>1583</v>
      </c>
      <c r="E464" s="5">
        <v>1</v>
      </c>
      <c r="F464" s="7">
        <v>1</v>
      </c>
      <c r="G464">
        <f>20.5/2</f>
        <v>10.25</v>
      </c>
      <c r="H464" s="5">
        <f t="shared" si="13"/>
        <v>41.237031250000001</v>
      </c>
      <c r="I464">
        <f>0.8/H464</f>
        <v>1.9400038648514497E-2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idden="1" x14ac:dyDescent="0.25">
      <c r="A465" t="s">
        <v>835</v>
      </c>
      <c r="B465" s="5">
        <v>35.414999999999999</v>
      </c>
      <c r="C465" s="5">
        <v>-97.385999999999996</v>
      </c>
      <c r="D465" s="5" t="s">
        <v>1586</v>
      </c>
      <c r="E465" s="5">
        <v>1</v>
      </c>
      <c r="F465" s="7">
        <v>0</v>
      </c>
      <c r="G465">
        <v>10</v>
      </c>
      <c r="H465" s="5">
        <f t="shared" si="13"/>
        <v>39.25</v>
      </c>
      <c r="I46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</row>
    <row r="466" spans="1:16" hidden="1" x14ac:dyDescent="0.25">
      <c r="A466" t="s">
        <v>642</v>
      </c>
      <c r="B466" s="5">
        <v>35.432000000000002</v>
      </c>
      <c r="C466" s="5">
        <v>-82.537999999999997</v>
      </c>
      <c r="D466" s="5" t="s">
        <v>1528</v>
      </c>
      <c r="E466" s="5">
        <v>1</v>
      </c>
      <c r="F466" s="7">
        <v>1</v>
      </c>
      <c r="G466">
        <v>11</v>
      </c>
      <c r="H466" s="5">
        <f t="shared" si="13"/>
        <v>47.4925</v>
      </c>
      <c r="I466">
        <f>5.5*7.5/2/H466</f>
        <v>0.43427909669947889</v>
      </c>
      <c r="J466">
        <f>(H466-3.5*3.7/2)/H466</f>
        <v>0.86366268358161813</v>
      </c>
      <c r="K466">
        <f>(H466-4.7-5.4/2)/H466</f>
        <v>0.84418592409327775</v>
      </c>
      <c r="L466">
        <f>(H466-7.5*3.5/2)/H466</f>
        <v>0.72364057482760435</v>
      </c>
      <c r="M466">
        <v>0</v>
      </c>
      <c r="N466">
        <f>3*5.5/2/H466</f>
        <v>0.17371163867979156</v>
      </c>
      <c r="O466">
        <f>(H466-9*8.5/2)/H466</f>
        <v>0.19460967521187555</v>
      </c>
      <c r="P466">
        <v>0</v>
      </c>
    </row>
    <row r="467" spans="1:16" hidden="1" x14ac:dyDescent="0.25">
      <c r="A467" t="s">
        <v>133</v>
      </c>
      <c r="B467" s="5">
        <v>35.433999999999997</v>
      </c>
      <c r="C467" s="5">
        <v>-119.056</v>
      </c>
      <c r="D467" s="5" t="s">
        <v>1627</v>
      </c>
      <c r="E467" s="5">
        <v>1</v>
      </c>
      <c r="F467" s="7">
        <v>1</v>
      </c>
      <c r="G467">
        <v>11</v>
      </c>
      <c r="H467" s="5">
        <f t="shared" si="13"/>
        <v>47.4925</v>
      </c>
      <c r="I467">
        <f>4.5*1.5/H467</f>
        <v>0.14212770437437491</v>
      </c>
      <c r="J467">
        <f>2/H467</f>
        <v>4.2111912407222195E-2</v>
      </c>
      <c r="K467">
        <f>6*3/2/H467</f>
        <v>0.18950360583249987</v>
      </c>
      <c r="L467">
        <v>0</v>
      </c>
      <c r="M467">
        <v>0</v>
      </c>
      <c r="N467">
        <f>2/H467</f>
        <v>4.2111912407222195E-2</v>
      </c>
      <c r="O467">
        <v>0</v>
      </c>
      <c r="P467">
        <v>0</v>
      </c>
    </row>
    <row r="468" spans="1:16" hidden="1" x14ac:dyDescent="0.25">
      <c r="A468" t="s">
        <v>51</v>
      </c>
      <c r="B468" s="5">
        <v>35.503999999999998</v>
      </c>
      <c r="C468" s="5">
        <v>-111.346</v>
      </c>
      <c r="D468" s="5" t="s">
        <v>1211</v>
      </c>
      <c r="E468">
        <v>1</v>
      </c>
      <c r="F468" s="7">
        <v>1</v>
      </c>
      <c r="G468">
        <v>10.5</v>
      </c>
      <c r="H468" s="5">
        <f t="shared" si="13"/>
        <v>43.273125</v>
      </c>
      <c r="I468">
        <f>(H468-5.5*6.5/2)/H468</f>
        <v>0.58692606554298998</v>
      </c>
      <c r="J468">
        <f>2.5/H468</f>
        <v>5.7772578245735659E-2</v>
      </c>
      <c r="K468">
        <f>2/H468</f>
        <v>4.6218062596588526E-2</v>
      </c>
      <c r="L468">
        <f>4*7/2/H468</f>
        <v>0.3235264381761197</v>
      </c>
      <c r="M468">
        <f>(H468-30/2)/H468</f>
        <v>0.65336453052558607</v>
      </c>
      <c r="N468">
        <f>15/2/H468</f>
        <v>0.17331773473720699</v>
      </c>
      <c r="O468">
        <f>3.5*7.5/2/H468</f>
        <v>0.30330603579011223</v>
      </c>
      <c r="P468">
        <f>6*3.5/2/H468</f>
        <v>0.24264482863208978</v>
      </c>
    </row>
    <row r="469" spans="1:16" hidden="1" x14ac:dyDescent="0.25">
      <c r="A469" t="s">
        <v>724</v>
      </c>
      <c r="B469" s="5">
        <v>35.511000000000003</v>
      </c>
      <c r="C469" s="5">
        <v>-108.789</v>
      </c>
      <c r="D469" s="5" t="s">
        <v>1602</v>
      </c>
      <c r="E469" s="5">
        <v>1</v>
      </c>
      <c r="F469" s="7">
        <v>0</v>
      </c>
      <c r="G469">
        <v>11</v>
      </c>
      <c r="H469" s="5">
        <f t="shared" si="13"/>
        <v>47.4925</v>
      </c>
      <c r="I469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</row>
    <row r="470" spans="1:16" hidden="1" x14ac:dyDescent="0.25">
      <c r="A470" t="s">
        <v>836</v>
      </c>
      <c r="B470" s="5">
        <v>35.533999999999999</v>
      </c>
      <c r="C470" s="5">
        <v>-97.647000000000006</v>
      </c>
      <c r="D470" s="5" t="s">
        <v>1587</v>
      </c>
      <c r="E470">
        <v>1</v>
      </c>
      <c r="F470" s="7">
        <v>1</v>
      </c>
      <c r="G470">
        <v>10.5</v>
      </c>
      <c r="H470" s="5">
        <f t="shared" si="13"/>
        <v>43.273125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idden="1" x14ac:dyDescent="0.25">
      <c r="A471" t="s">
        <v>959</v>
      </c>
      <c r="B471" s="5">
        <v>35.593000000000004</v>
      </c>
      <c r="C471" s="5">
        <v>-88.917000000000002</v>
      </c>
      <c r="D471" s="5" t="s">
        <v>1552</v>
      </c>
      <c r="E471">
        <v>1</v>
      </c>
      <c r="F471" s="7">
        <v>0</v>
      </c>
      <c r="G471">
        <f>22.4/2</f>
        <v>11.2</v>
      </c>
      <c r="H471" s="5">
        <f t="shared" si="13"/>
        <v>49.235199999999999</v>
      </c>
      <c r="I471">
        <v>0</v>
      </c>
      <c r="J471">
        <v>0</v>
      </c>
      <c r="K471">
        <f>1.5/H471</f>
        <v>3.0466008059274664E-2</v>
      </c>
      <c r="L471">
        <f>2.5/H471</f>
        <v>5.0776680098791112E-2</v>
      </c>
      <c r="M471">
        <v>0</v>
      </c>
      <c r="N471" s="5">
        <v>0</v>
      </c>
      <c r="O471" s="5">
        <v>0</v>
      </c>
      <c r="P471" s="5">
        <v>0</v>
      </c>
    </row>
    <row r="472" spans="1:16" hidden="1" x14ac:dyDescent="0.25">
      <c r="A472" t="s">
        <v>726</v>
      </c>
      <c r="B472" s="5">
        <v>35.616999999999997</v>
      </c>
      <c r="C472" s="5">
        <v>-106.089</v>
      </c>
      <c r="D472" s="5" t="s">
        <v>1607</v>
      </c>
      <c r="E472" s="5">
        <v>1</v>
      </c>
      <c r="F472" s="7">
        <v>0</v>
      </c>
      <c r="G472">
        <v>10.5</v>
      </c>
      <c r="H472" s="5">
        <f t="shared" si="13"/>
        <v>43.273125</v>
      </c>
      <c r="I472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</row>
    <row r="473" spans="1:16" hidden="1" x14ac:dyDescent="0.25">
      <c r="A473" t="s">
        <v>25</v>
      </c>
      <c r="B473" s="5">
        <v>35.633000000000003</v>
      </c>
      <c r="C473" s="5">
        <v>-91.167000000000002</v>
      </c>
      <c r="D473" s="5" t="s">
        <v>1217</v>
      </c>
      <c r="E473" s="5">
        <v>1</v>
      </c>
      <c r="F473" s="7">
        <v>1</v>
      </c>
      <c r="G473">
        <v>10.5</v>
      </c>
      <c r="H473" s="5">
        <f t="shared" si="13"/>
        <v>43.273125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idden="1" x14ac:dyDescent="0.25">
      <c r="A474" t="s">
        <v>629</v>
      </c>
      <c r="B474" s="5">
        <v>35.634999999999998</v>
      </c>
      <c r="C474" s="5">
        <v>-77.382999999999996</v>
      </c>
      <c r="D474" s="5" t="s">
        <v>1497</v>
      </c>
      <c r="E474" s="5">
        <v>1</v>
      </c>
      <c r="F474" s="7">
        <v>1</v>
      </c>
      <c r="G474">
        <f>23.7/2</f>
        <v>11.85</v>
      </c>
      <c r="H474" s="5">
        <f t="shared" si="13"/>
        <v>55.115831250000006</v>
      </c>
      <c r="I474">
        <v>0</v>
      </c>
      <c r="J474">
        <v>0</v>
      </c>
      <c r="K474">
        <f>4/H474</f>
        <v>7.2574429329685552E-2</v>
      </c>
      <c r="L474">
        <f>4.5/H474</f>
        <v>8.1646232995896253E-2</v>
      </c>
      <c r="M474">
        <v>0</v>
      </c>
      <c r="N474">
        <v>0</v>
      </c>
      <c r="O474">
        <v>0</v>
      </c>
      <c r="P474">
        <f>2.5/H474</f>
        <v>4.535901833105347E-2</v>
      </c>
    </row>
    <row r="475" spans="1:16" hidden="1" x14ac:dyDescent="0.25">
      <c r="A475" t="s">
        <v>730</v>
      </c>
      <c r="B475" s="5">
        <v>35.654000000000003</v>
      </c>
      <c r="C475" s="5">
        <v>-105.143</v>
      </c>
      <c r="D475" s="5" t="s">
        <v>1610</v>
      </c>
      <c r="E475" s="5">
        <v>1</v>
      </c>
      <c r="F475" s="7">
        <v>0</v>
      </c>
      <c r="G475">
        <f>24.4/2</f>
        <v>12.2</v>
      </c>
      <c r="H475" s="5">
        <f t="shared" si="13"/>
        <v>58.419699999999999</v>
      </c>
      <c r="I47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</row>
    <row r="476" spans="1:16" hidden="1" x14ac:dyDescent="0.25">
      <c r="A476" t="s">
        <v>841</v>
      </c>
      <c r="B476" s="5">
        <v>35.656999999999996</v>
      </c>
      <c r="C476" s="5">
        <v>-95.361000000000004</v>
      </c>
      <c r="D476" s="5" t="s">
        <v>1592</v>
      </c>
      <c r="E476" s="5">
        <v>1</v>
      </c>
      <c r="F476" s="7">
        <v>1</v>
      </c>
      <c r="G476">
        <f>20.6/2</f>
        <v>10.3</v>
      </c>
      <c r="H476" s="5">
        <f t="shared" si="13"/>
        <v>41.640325000000011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idden="1" x14ac:dyDescent="0.25">
      <c r="A477" t="s">
        <v>60</v>
      </c>
      <c r="B477" s="5">
        <v>35.658000000000001</v>
      </c>
      <c r="C477" s="5">
        <v>-109.06100000000001</v>
      </c>
      <c r="D477" s="5" t="s">
        <v>1441</v>
      </c>
      <c r="E477" s="5">
        <v>1</v>
      </c>
      <c r="F477" s="7">
        <v>0</v>
      </c>
      <c r="G477">
        <f>23.4/2</f>
        <v>11.7</v>
      </c>
      <c r="H477" s="5">
        <f t="shared" si="13"/>
        <v>53.729324999999996</v>
      </c>
      <c r="I477">
        <f>3.7/H477</f>
        <v>6.886369780375988E-2</v>
      </c>
      <c r="J477">
        <f>1.7/H477</f>
        <v>3.1640077369295076E-2</v>
      </c>
      <c r="K477">
        <f>4/H477</f>
        <v>7.4447240868929593E-2</v>
      </c>
      <c r="L477">
        <f>3/H477</f>
        <v>5.5835430651697195E-2</v>
      </c>
      <c r="M477">
        <f>1/H477</f>
        <v>1.8611810217232398E-2</v>
      </c>
      <c r="N477">
        <v>0</v>
      </c>
      <c r="O477">
        <f>2.3/H477</f>
        <v>4.280716349963451E-2</v>
      </c>
      <c r="P477">
        <f>1.5/H477</f>
        <v>2.7917715325848597E-2</v>
      </c>
    </row>
    <row r="478" spans="1:16" hidden="1" x14ac:dyDescent="0.25">
      <c r="A478" t="s">
        <v>146</v>
      </c>
      <c r="B478" s="5">
        <v>35.673000000000002</v>
      </c>
      <c r="C478" s="5">
        <v>-120.627</v>
      </c>
      <c r="D478" s="5" t="s">
        <v>1642</v>
      </c>
      <c r="E478">
        <v>1</v>
      </c>
      <c r="F478" s="7">
        <v>1</v>
      </c>
      <c r="G478">
        <f>21.8/2</f>
        <v>10.9</v>
      </c>
      <c r="H478" s="5">
        <f t="shared" si="13"/>
        <v>46.632925</v>
      </c>
      <c r="I478">
        <v>0</v>
      </c>
      <c r="J478">
        <v>0</v>
      </c>
      <c r="K478">
        <v>0</v>
      </c>
      <c r="L478">
        <v>0</v>
      </c>
      <c r="M478">
        <f>3.5/H478</f>
        <v>7.5054266915489429E-2</v>
      </c>
      <c r="N478">
        <f>0.4/H478</f>
        <v>8.5776305046273635E-3</v>
      </c>
      <c r="O478">
        <v>0</v>
      </c>
      <c r="P478">
        <v>0</v>
      </c>
    </row>
    <row r="479" spans="1:16" hidden="1" x14ac:dyDescent="0.25">
      <c r="A479" t="s">
        <v>191</v>
      </c>
      <c r="B479" s="5">
        <v>35.683</v>
      </c>
      <c r="C479" s="5">
        <v>-117.68300000000001</v>
      </c>
      <c r="D479" s="5" t="s">
        <v>2256</v>
      </c>
      <c r="E479">
        <v>1</v>
      </c>
      <c r="F479" s="7">
        <v>0</v>
      </c>
      <c r="G479">
        <f>18.4/2</f>
        <v>9.1999999999999993</v>
      </c>
      <c r="H479" s="5">
        <f t="shared" si="13"/>
        <v>33.221199999999996</v>
      </c>
      <c r="I479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</row>
    <row r="480" spans="1:16" hidden="1" x14ac:dyDescent="0.25">
      <c r="A480" t="s">
        <v>1045</v>
      </c>
      <c r="B480">
        <v>35.700000000000003</v>
      </c>
      <c r="C480">
        <v>-101.39400000000001</v>
      </c>
      <c r="D480" t="s">
        <v>1605</v>
      </c>
      <c r="E480">
        <v>1</v>
      </c>
      <c r="F480" s="7">
        <v>0</v>
      </c>
      <c r="G480">
        <f>21.5/2</f>
        <v>10.75</v>
      </c>
      <c r="H480" s="5">
        <f t="shared" si="13"/>
        <v>45.358281250000005</v>
      </c>
      <c r="I480">
        <f>1/H480</f>
        <v>2.2046690757269376E-2</v>
      </c>
      <c r="J480">
        <v>0</v>
      </c>
      <c r="K480">
        <f>3/H480</f>
        <v>6.6140072271808126E-2</v>
      </c>
      <c r="L480">
        <f>0.2/H480</f>
        <v>4.409338151453876E-3</v>
      </c>
      <c r="M480">
        <f>2/H480</f>
        <v>4.4093381514538753E-2</v>
      </c>
      <c r="N480">
        <f>1.3/H480</f>
        <v>2.866069798445019E-2</v>
      </c>
      <c r="O480">
        <f>2.5/H480</f>
        <v>5.5116726893173443E-2</v>
      </c>
      <c r="P480">
        <f>1/H480</f>
        <v>2.2046690757269376E-2</v>
      </c>
    </row>
    <row r="481" spans="1:16" hidden="1" x14ac:dyDescent="0.25">
      <c r="A481" t="s">
        <v>640</v>
      </c>
      <c r="B481" s="5">
        <v>35.741</v>
      </c>
      <c r="C481" s="5">
        <v>-81.39</v>
      </c>
      <c r="D481" s="5" t="s">
        <v>1526</v>
      </c>
      <c r="E481">
        <v>1</v>
      </c>
      <c r="F481" s="7">
        <v>0</v>
      </c>
      <c r="G481">
        <f>25.9/2</f>
        <v>12.95</v>
      </c>
      <c r="H481" s="5">
        <f t="shared" si="13"/>
        <v>65.823231249999992</v>
      </c>
      <c r="I481">
        <f>4*4.5/2/H481</f>
        <v>0.13672984186719034</v>
      </c>
      <c r="J481">
        <f>6*3.5/2/H481</f>
        <v>0.15951814884505539</v>
      </c>
      <c r="K481">
        <v>0</v>
      </c>
      <c r="L481">
        <f>4*2.5/2/H481</f>
        <v>7.5961023259550189E-2</v>
      </c>
      <c r="M481">
        <v>0</v>
      </c>
      <c r="N481">
        <v>0</v>
      </c>
      <c r="O481">
        <f>6.5*5.5/H481</f>
        <v>0.54312131630578386</v>
      </c>
      <c r="P481">
        <f>5*9/2/H481</f>
        <v>0.34182460466797582</v>
      </c>
    </row>
    <row r="482" spans="1:16" hidden="1" x14ac:dyDescent="0.25">
      <c r="A482" t="s">
        <v>953</v>
      </c>
      <c r="B482" s="5">
        <v>35.817999999999998</v>
      </c>
      <c r="C482" s="5">
        <v>-83.986000000000004</v>
      </c>
      <c r="D482" s="5" t="s">
        <v>1542</v>
      </c>
      <c r="E482">
        <v>1</v>
      </c>
      <c r="F482" s="7">
        <v>1</v>
      </c>
      <c r="G482">
        <v>11</v>
      </c>
      <c r="H482" s="5">
        <f t="shared" si="13"/>
        <v>47.4925</v>
      </c>
      <c r="I482">
        <v>0</v>
      </c>
      <c r="J482">
        <v>0</v>
      </c>
      <c r="K482">
        <v>0</v>
      </c>
      <c r="L482">
        <f>2/H482</f>
        <v>4.2111912407222195E-2</v>
      </c>
      <c r="M482">
        <v>0</v>
      </c>
      <c r="N482">
        <v>0</v>
      </c>
      <c r="O482">
        <v>0</v>
      </c>
      <c r="P482">
        <v>0</v>
      </c>
    </row>
    <row r="483" spans="1:16" hidden="1" x14ac:dyDescent="0.25">
      <c r="A483" t="s">
        <v>32</v>
      </c>
      <c r="B483">
        <v>35.831000000000003</v>
      </c>
      <c r="C483">
        <v>-90.646000000000001</v>
      </c>
      <c r="D483" s="5" t="s">
        <v>1558</v>
      </c>
      <c r="E483">
        <v>1</v>
      </c>
      <c r="F483" s="7">
        <v>0</v>
      </c>
      <c r="G483">
        <f>22.3/2</f>
        <v>11.15</v>
      </c>
      <c r="H483" s="5">
        <f t="shared" si="13"/>
        <v>48.796581250000003</v>
      </c>
      <c r="I483">
        <f>0.7/H483</f>
        <v>1.4345267272182105E-2</v>
      </c>
      <c r="J483">
        <v>0</v>
      </c>
      <c r="K483">
        <f>1.2/H483</f>
        <v>2.4591886752312178E-2</v>
      </c>
      <c r="L483">
        <f>5*1.3/H483</f>
        <v>0.13320605324169096</v>
      </c>
      <c r="M483">
        <v>0</v>
      </c>
      <c r="N483">
        <v>0</v>
      </c>
      <c r="O483">
        <v>0</v>
      </c>
      <c r="P483">
        <f>3/H483</f>
        <v>6.1479716880780452E-2</v>
      </c>
    </row>
    <row r="484" spans="1:16" hidden="1" x14ac:dyDescent="0.25">
      <c r="A484" t="s">
        <v>834</v>
      </c>
      <c r="B484">
        <v>35.85</v>
      </c>
      <c r="C484">
        <v>-97.415999999999997</v>
      </c>
      <c r="D484" t="s">
        <v>1585</v>
      </c>
      <c r="E484">
        <v>1</v>
      </c>
      <c r="F484" s="7">
        <v>1</v>
      </c>
      <c r="G484">
        <v>10.5</v>
      </c>
      <c r="H484" s="5">
        <f t="shared" si="13"/>
        <v>43.273125</v>
      </c>
      <c r="I484">
        <f>7*6.5/2/H484</f>
        <v>0.52573046203619456</v>
      </c>
      <c r="J484">
        <f>1/H484</f>
        <v>2.3109031298294263E-2</v>
      </c>
      <c r="K484">
        <v>0</v>
      </c>
      <c r="L484">
        <f>2.8*5/2/H484</f>
        <v>0.16176321908805985</v>
      </c>
      <c r="M484">
        <v>0</v>
      </c>
      <c r="N484">
        <f>0.4/H484</f>
        <v>9.2436125193177069E-3</v>
      </c>
      <c r="O484">
        <v>0</v>
      </c>
      <c r="P484">
        <f>2.5*8/2/H484</f>
        <v>0.23109031298294264</v>
      </c>
    </row>
    <row r="485" spans="1:16" hidden="1" x14ac:dyDescent="0.25">
      <c r="A485" t="s">
        <v>631</v>
      </c>
      <c r="B485">
        <v>35.854999999999997</v>
      </c>
      <c r="C485">
        <v>-77.893000000000001</v>
      </c>
      <c r="D485" t="s">
        <v>1499</v>
      </c>
      <c r="E485">
        <v>1</v>
      </c>
      <c r="F485" s="7">
        <v>1</v>
      </c>
      <c r="G485">
        <f>22.4/2</f>
        <v>11.2</v>
      </c>
      <c r="H485" s="5">
        <f t="shared" si="13"/>
        <v>49.235199999999999</v>
      </c>
      <c r="I485">
        <v>0</v>
      </c>
      <c r="J485">
        <f>3*2.7/2/H485</f>
        <v>8.2258221760041619E-2</v>
      </c>
      <c r="K485">
        <f>8.5*8.5/2/H485</f>
        <v>0.73372302742753148</v>
      </c>
      <c r="L485">
        <f>5.5*7.5/2/H485</f>
        <v>0.41890761081502664</v>
      </c>
      <c r="M485">
        <f>4/H485</f>
        <v>8.1242688158065776E-2</v>
      </c>
      <c r="N485">
        <v>0</v>
      </c>
      <c r="O485">
        <f>4/H485</f>
        <v>8.1242688158065776E-2</v>
      </c>
      <c r="P485">
        <f>4/H485</f>
        <v>8.1242688158065776E-2</v>
      </c>
    </row>
    <row r="486" spans="1:16" hidden="1" x14ac:dyDescent="0.25">
      <c r="A486" t="s">
        <v>628</v>
      </c>
      <c r="B486" s="5">
        <v>35.871000000000002</v>
      </c>
      <c r="C486" s="5">
        <v>-78.786000000000001</v>
      </c>
      <c r="D486" s="5" t="s">
        <v>1496</v>
      </c>
      <c r="E486">
        <v>1</v>
      </c>
      <c r="F486" s="7">
        <v>0</v>
      </c>
      <c r="G486">
        <v>12.5</v>
      </c>
      <c r="H486" s="5">
        <f t="shared" si="13"/>
        <v>61.328125</v>
      </c>
      <c r="I486">
        <f>5*3.5/2/H486</f>
        <v>0.14267515923566879</v>
      </c>
      <c r="J486">
        <f>3.5*1.3/2/H486</f>
        <v>3.7095541401273885E-2</v>
      </c>
      <c r="K486">
        <v>0</v>
      </c>
      <c r="L486">
        <v>0</v>
      </c>
      <c r="M486">
        <f>1.5/H486</f>
        <v>2.4458598726114649E-2</v>
      </c>
      <c r="N486">
        <f>5/H486</f>
        <v>8.1528662420382161E-2</v>
      </c>
      <c r="O486">
        <f>4*9.5/2/H486</f>
        <v>0.30980891719745224</v>
      </c>
      <c r="P486">
        <f>2.5/H486</f>
        <v>4.0764331210191081E-2</v>
      </c>
    </row>
    <row r="487" spans="1:16" hidden="1" x14ac:dyDescent="0.25">
      <c r="A487" t="s">
        <v>649</v>
      </c>
      <c r="B487">
        <v>35.933</v>
      </c>
      <c r="C487">
        <v>-79.063999999999993</v>
      </c>
      <c r="D487" t="s">
        <v>2264</v>
      </c>
      <c r="E487">
        <v>1</v>
      </c>
      <c r="F487" s="7">
        <v>1</v>
      </c>
      <c r="G487">
        <v>10</v>
      </c>
      <c r="H487" s="5">
        <f t="shared" si="13"/>
        <v>39.25</v>
      </c>
      <c r="I487">
        <f>(H487-4*5/2)/H487</f>
        <v>0.74522292993630568</v>
      </c>
      <c r="J487">
        <f>3*4.5/2/H487</f>
        <v>0.17197452229299362</v>
      </c>
      <c r="K487">
        <f>5*7/2/H487</f>
        <v>0.44585987261146498</v>
      </c>
      <c r="L487">
        <f>8*6/2/H487</f>
        <v>0.61146496815286622</v>
      </c>
      <c r="M487">
        <f>6.5*8/2/H487</f>
        <v>0.66242038216560506</v>
      </c>
      <c r="N487">
        <f>6*7.5/2/H487</f>
        <v>0.57324840764331209</v>
      </c>
      <c r="O487">
        <f>6.5*9/2/H487</f>
        <v>0.74522292993630568</v>
      </c>
      <c r="P487">
        <f>7*4.5/2/H487</f>
        <v>0.40127388535031849</v>
      </c>
    </row>
    <row r="488" spans="1:16" hidden="1" x14ac:dyDescent="0.25">
      <c r="A488" t="s">
        <v>34</v>
      </c>
      <c r="B488" s="5">
        <v>35.94</v>
      </c>
      <c r="C488" s="5">
        <v>-89.831000000000003</v>
      </c>
      <c r="D488" s="5" t="s">
        <v>1560</v>
      </c>
      <c r="E488">
        <v>1</v>
      </c>
      <c r="F488" s="7">
        <v>1</v>
      </c>
      <c r="G488">
        <f>20.5/2</f>
        <v>10.25</v>
      </c>
      <c r="H488" s="5">
        <f t="shared" si="13"/>
        <v>41.237031250000001</v>
      </c>
      <c r="I488">
        <v>0</v>
      </c>
      <c r="J488" s="5">
        <v>0</v>
      </c>
      <c r="K488" s="5">
        <f>2/H488</f>
        <v>4.8500096621286237E-2</v>
      </c>
      <c r="L488" s="5">
        <f>3/H488</f>
        <v>7.2750144931929356E-2</v>
      </c>
      <c r="M488" s="5">
        <f>3/H488</f>
        <v>7.2750144931929356E-2</v>
      </c>
      <c r="N488" s="5">
        <f>1.5/H488</f>
        <v>3.6375072465964678E-2</v>
      </c>
      <c r="O488" s="5">
        <f>1/H488</f>
        <v>2.4250048310643119E-2</v>
      </c>
      <c r="P488" s="5">
        <v>0</v>
      </c>
    </row>
    <row r="489" spans="1:16" hidden="1" x14ac:dyDescent="0.25">
      <c r="A489" t="s">
        <v>79</v>
      </c>
      <c r="B489" s="1">
        <v>35.945999999999998</v>
      </c>
      <c r="C489" s="1">
        <v>-112.155</v>
      </c>
      <c r="D489" s="1" t="s">
        <v>1619</v>
      </c>
      <c r="E489">
        <v>1</v>
      </c>
      <c r="F489" s="7">
        <v>1</v>
      </c>
      <c r="G489">
        <f>22.5/2</f>
        <v>11.25</v>
      </c>
      <c r="H489" s="5">
        <f t="shared" si="13"/>
        <v>49.675781250000007</v>
      </c>
      <c r="I489">
        <f>9*2.5/2/H489</f>
        <v>0.22646850672328375</v>
      </c>
      <c r="J489">
        <v>0</v>
      </c>
      <c r="K489">
        <f>2.5*6/2/H489</f>
        <v>0.15097900448218918</v>
      </c>
      <c r="L489">
        <f>3*8/2/H489</f>
        <v>0.24156640717150268</v>
      </c>
      <c r="M489">
        <f>3*2.5/2/H489</f>
        <v>7.5489502241094589E-2</v>
      </c>
      <c r="N489">
        <v>0</v>
      </c>
      <c r="O489">
        <f>3*8.5/2/H489</f>
        <v>0.25666430761972159</v>
      </c>
      <c r="P489">
        <f>4*7.5/2/H489</f>
        <v>0.30195800896437835</v>
      </c>
    </row>
    <row r="490" spans="1:16" hidden="1" x14ac:dyDescent="0.25">
      <c r="A490" t="s">
        <v>78</v>
      </c>
      <c r="B490" s="1">
        <v>35.950000000000003</v>
      </c>
      <c r="C490" s="1">
        <v>-112.15</v>
      </c>
      <c r="D490" s="1" t="s">
        <v>2315</v>
      </c>
      <c r="E490">
        <v>1</v>
      </c>
      <c r="F490" s="7">
        <v>1</v>
      </c>
      <c r="G490" s="5">
        <f>22.5/2</f>
        <v>11.25</v>
      </c>
      <c r="H490" s="5">
        <f t="shared" si="13"/>
        <v>49.675781250000007</v>
      </c>
      <c r="I490" s="5">
        <f>9*2.5/2/H490</f>
        <v>0.22646850672328375</v>
      </c>
      <c r="J490" s="5">
        <v>0</v>
      </c>
      <c r="K490" s="5">
        <f>2.5*6/2/H490</f>
        <v>0.15097900448218918</v>
      </c>
      <c r="L490" s="5">
        <f>3*8/2/H490</f>
        <v>0.24156640717150268</v>
      </c>
      <c r="M490" s="5">
        <f>3*2.5/2/H490</f>
        <v>7.5489502241094589E-2</v>
      </c>
      <c r="N490" s="5">
        <v>0</v>
      </c>
      <c r="O490" s="5">
        <f>3*8.5/2/H490</f>
        <v>0.25666430761972159</v>
      </c>
      <c r="P490" s="5">
        <f>4*7.5/2/H490</f>
        <v>0.30195800896437835</v>
      </c>
    </row>
    <row r="491" spans="1:16" hidden="1" x14ac:dyDescent="0.25">
      <c r="A491" t="s">
        <v>954</v>
      </c>
      <c r="B491" s="5">
        <v>35.951000000000001</v>
      </c>
      <c r="C491" s="5">
        <v>-85.084999999999994</v>
      </c>
      <c r="D491" s="5" t="s">
        <v>1543</v>
      </c>
      <c r="E491">
        <v>1</v>
      </c>
      <c r="F491" s="7">
        <v>1</v>
      </c>
      <c r="G491">
        <f>20.5/2</f>
        <v>10.25</v>
      </c>
      <c r="H491" s="5">
        <f t="shared" si="13"/>
        <v>41.237031250000001</v>
      </c>
      <c r="I491">
        <f>8*6.5/2/H491</f>
        <v>0.63050125607672103</v>
      </c>
      <c r="J491">
        <f>6.5*7/2/H491</f>
        <v>0.55168859906713097</v>
      </c>
      <c r="K491">
        <f>5*3/H491</f>
        <v>0.36375072465964675</v>
      </c>
      <c r="L491">
        <f>6*3/2/H491</f>
        <v>0.21825043479578807</v>
      </c>
      <c r="M491">
        <f>4.3*3/2/H491</f>
        <v>0.15641281160364809</v>
      </c>
      <c r="N491">
        <f>3/H491</f>
        <v>7.2750144931929356E-2</v>
      </c>
      <c r="O491">
        <f>8*6.5/2/H491</f>
        <v>0.63050125607672103</v>
      </c>
      <c r="P491">
        <f>6.5*3.5/2/H491</f>
        <v>0.27584429953356548</v>
      </c>
    </row>
    <row r="492" spans="1:16" hidden="1" x14ac:dyDescent="0.25">
      <c r="A492" t="s">
        <v>33</v>
      </c>
      <c r="B492" s="5">
        <v>35.963999999999999</v>
      </c>
      <c r="C492" s="5">
        <v>-89.942999999999998</v>
      </c>
      <c r="D492" s="5" t="s">
        <v>1559</v>
      </c>
      <c r="E492">
        <v>1</v>
      </c>
      <c r="F492" s="7">
        <v>1</v>
      </c>
      <c r="G492">
        <v>10.75</v>
      </c>
      <c r="H492" s="5">
        <f t="shared" si="13"/>
        <v>45.358281250000005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f>2/H492</f>
        <v>4.4093381514538753E-2</v>
      </c>
      <c r="P492">
        <v>0</v>
      </c>
    </row>
    <row r="493" spans="1:16" hidden="1" x14ac:dyDescent="0.25">
      <c r="A493" t="s">
        <v>737</v>
      </c>
      <c r="B493" s="5">
        <v>35.975999999999999</v>
      </c>
      <c r="C493" s="5">
        <v>-115.11799999999999</v>
      </c>
      <c r="D493" s="5" t="s">
        <v>1263</v>
      </c>
      <c r="E493">
        <v>1</v>
      </c>
      <c r="F493" s="7">
        <v>0</v>
      </c>
      <c r="G493">
        <v>9</v>
      </c>
      <c r="H493" s="5">
        <f t="shared" si="13"/>
        <v>31.7925</v>
      </c>
      <c r="I493">
        <v>0</v>
      </c>
      <c r="J493">
        <f>1.5/H493</f>
        <v>4.7180938900684123E-2</v>
      </c>
      <c r="K493">
        <f>4*6.5/2/H493</f>
        <v>0.40890147047259573</v>
      </c>
      <c r="L493">
        <f>4/H493</f>
        <v>0.125815837068491</v>
      </c>
      <c r="M493">
        <v>0</v>
      </c>
      <c r="N493">
        <v>0</v>
      </c>
      <c r="O493">
        <v>0</v>
      </c>
      <c r="P493">
        <v>0</v>
      </c>
    </row>
    <row r="494" spans="1:16" hidden="1" x14ac:dyDescent="0.25">
      <c r="A494" t="s">
        <v>45</v>
      </c>
      <c r="B494" s="5">
        <v>36.005000000000003</v>
      </c>
      <c r="C494" s="5">
        <v>-94.17</v>
      </c>
      <c r="D494" t="s">
        <v>1571</v>
      </c>
      <c r="E494">
        <v>1</v>
      </c>
      <c r="F494" s="7">
        <v>1</v>
      </c>
      <c r="G494">
        <v>11.5</v>
      </c>
      <c r="H494" s="5">
        <f t="shared" si="13"/>
        <v>51.908124999999998</v>
      </c>
      <c r="I494">
        <f>5.5*3/2/H494</f>
        <v>0.15893465618340097</v>
      </c>
      <c r="J494">
        <f>5*5/2/H494</f>
        <v>0.24081008512636509</v>
      </c>
      <c r="K494">
        <f>2.5*4.8/H494</f>
        <v>0.23117768172131051</v>
      </c>
      <c r="L494">
        <f>4*1.4/2/H494</f>
        <v>5.3941459068305782E-2</v>
      </c>
      <c r="M494">
        <f>0.6/H494</f>
        <v>1.1558884086065525E-2</v>
      </c>
      <c r="N494">
        <v>0</v>
      </c>
      <c r="O494">
        <f>1.5/H494</f>
        <v>2.8897210215163813E-2</v>
      </c>
      <c r="P494">
        <v>0</v>
      </c>
    </row>
    <row r="495" spans="1:16" hidden="1" x14ac:dyDescent="0.25">
      <c r="A495" t="s">
        <v>956</v>
      </c>
      <c r="B495" s="5">
        <v>36.009</v>
      </c>
      <c r="C495" s="5">
        <v>-86.52</v>
      </c>
      <c r="D495" s="5" t="s">
        <v>1545</v>
      </c>
      <c r="E495" s="5">
        <v>1</v>
      </c>
      <c r="F495" s="7">
        <v>1</v>
      </c>
      <c r="G495">
        <f>24.5/2</f>
        <v>12.25</v>
      </c>
      <c r="H495" s="5">
        <f t="shared" si="13"/>
        <v>58.899531250000003</v>
      </c>
      <c r="I495">
        <v>0</v>
      </c>
      <c r="J495">
        <v>0</v>
      </c>
      <c r="K495">
        <v>0</v>
      </c>
      <c r="L495">
        <v>0</v>
      </c>
      <c r="M495">
        <f>7/H495</f>
        <v>0.11884644667694193</v>
      </c>
      <c r="N495">
        <f>2.5/H495</f>
        <v>4.2445159527479258E-2</v>
      </c>
      <c r="O495">
        <v>0</v>
      </c>
      <c r="P495">
        <v>0</v>
      </c>
    </row>
    <row r="496" spans="1:16" hidden="1" x14ac:dyDescent="0.25">
      <c r="A496" t="s">
        <v>960</v>
      </c>
      <c r="B496">
        <v>36.018999999999998</v>
      </c>
      <c r="C496">
        <v>-89.317999999999998</v>
      </c>
      <c r="D496" t="s">
        <v>1553</v>
      </c>
      <c r="E496" s="5">
        <v>1</v>
      </c>
      <c r="F496" s="7">
        <v>1</v>
      </c>
      <c r="G496">
        <v>9.5</v>
      </c>
      <c r="H496" s="5">
        <f t="shared" si="13"/>
        <v>35.423124999999999</v>
      </c>
      <c r="I496">
        <f>1/H496</f>
        <v>2.8230146267445348E-2</v>
      </c>
      <c r="J496">
        <f>1/H496</f>
        <v>2.8230146267445348E-2</v>
      </c>
      <c r="K496">
        <f>2.3*3/H496</f>
        <v>0.1947880092453729</v>
      </c>
      <c r="L496">
        <f>2.5/H496</f>
        <v>7.0575365668613374E-2</v>
      </c>
      <c r="M496">
        <f>6.5*4/2/H496</f>
        <v>0.36699190147678956</v>
      </c>
      <c r="N496">
        <f>6.5/H496</f>
        <v>0.18349595073839478</v>
      </c>
      <c r="O496">
        <f>1.5/H496</f>
        <v>4.2345219401168026E-2</v>
      </c>
      <c r="P496">
        <f>5/H496</f>
        <v>0.14115073133722675</v>
      </c>
    </row>
    <row r="497" spans="1:16" hidden="1" x14ac:dyDescent="0.25">
      <c r="A497" t="s">
        <v>1028</v>
      </c>
      <c r="B497" s="5">
        <v>36.023000000000003</v>
      </c>
      <c r="C497" s="5">
        <v>-102.547</v>
      </c>
      <c r="D497" s="5" t="s">
        <v>1413</v>
      </c>
      <c r="E497" s="5">
        <v>1</v>
      </c>
      <c r="F497" s="7">
        <v>1</v>
      </c>
      <c r="G497">
        <v>11</v>
      </c>
      <c r="H497" s="5">
        <f t="shared" si="13"/>
        <v>47.4925</v>
      </c>
      <c r="I497">
        <f>3/H497</f>
        <v>6.3167868610833289E-2</v>
      </c>
      <c r="J497">
        <v>0</v>
      </c>
      <c r="K497">
        <v>0</v>
      </c>
      <c r="L497" s="5">
        <v>0</v>
      </c>
      <c r="M497">
        <v>0</v>
      </c>
      <c r="N497">
        <v>0</v>
      </c>
      <c r="O497">
        <v>0</v>
      </c>
      <c r="P497">
        <f>2/H497</f>
        <v>4.2111912407222195E-2</v>
      </c>
    </row>
    <row r="498" spans="1:16" hidden="1" x14ac:dyDescent="0.25">
      <c r="A498" t="s">
        <v>952</v>
      </c>
      <c r="B498">
        <v>36.023000000000003</v>
      </c>
      <c r="C498">
        <v>-84.233000000000004</v>
      </c>
      <c r="D498" t="s">
        <v>1541</v>
      </c>
      <c r="E498" s="5">
        <v>1</v>
      </c>
      <c r="F498" s="7">
        <v>1</v>
      </c>
      <c r="G498">
        <f>19/2</f>
        <v>9.5</v>
      </c>
      <c r="H498" s="5">
        <f t="shared" si="13"/>
        <v>35.423124999999999</v>
      </c>
      <c r="I498">
        <f>3.5*4.5/2/H498</f>
        <v>0.22231240185613213</v>
      </c>
      <c r="J498">
        <f>3/H498</f>
        <v>8.4690438802336052E-2</v>
      </c>
      <c r="K498">
        <f>4*5/2/H498</f>
        <v>0.2823014626744535</v>
      </c>
      <c r="L498">
        <f>6.5*6/2/H498</f>
        <v>0.55048785221518426</v>
      </c>
      <c r="M498">
        <f>6.5*6/2/H498</f>
        <v>0.55048785221518426</v>
      </c>
      <c r="N498">
        <f>6.5*8/2/H498</f>
        <v>0.73398380295357912</v>
      </c>
      <c r="O498">
        <f>10*5/2/H498</f>
        <v>0.70575365668613377</v>
      </c>
      <c r="P498">
        <f>8.5*3/2/H498</f>
        <v>0.35993436490992819</v>
      </c>
    </row>
    <row r="499" spans="1:16" hidden="1" x14ac:dyDescent="0.25">
      <c r="A499" t="s">
        <v>843</v>
      </c>
      <c r="B499">
        <v>36.039000000000001</v>
      </c>
      <c r="C499">
        <v>-95.983999999999995</v>
      </c>
      <c r="D499" t="s">
        <v>1594</v>
      </c>
      <c r="E499" s="5">
        <v>1</v>
      </c>
      <c r="F499" s="7">
        <v>1</v>
      </c>
      <c r="G499">
        <v>10.5</v>
      </c>
      <c r="H499" s="5">
        <f t="shared" si="13"/>
        <v>43.273125</v>
      </c>
      <c r="I499">
        <f>3*8/2/H499</f>
        <v>0.2773083755795312</v>
      </c>
      <c r="J499">
        <f>4/H499</f>
        <v>9.2436125193177052E-2</v>
      </c>
      <c r="K499">
        <v>0</v>
      </c>
      <c r="L499">
        <f>4.5/H499</f>
        <v>0.10399064084232419</v>
      </c>
      <c r="M499">
        <f>4*5/2/H499</f>
        <v>0.23109031298294264</v>
      </c>
      <c r="N499">
        <f>3.5*4/2/H499</f>
        <v>0.16176321908805985</v>
      </c>
      <c r="O499">
        <f>5.5*6.4/2/H499</f>
        <v>0.40671895084997911</v>
      </c>
      <c r="P499">
        <f>7.5*4/2/H499</f>
        <v>0.34663546947441398</v>
      </c>
    </row>
    <row r="500" spans="1:16" hidden="1" x14ac:dyDescent="0.25">
      <c r="A500" t="s">
        <v>644</v>
      </c>
      <c r="B500">
        <v>36.046999999999997</v>
      </c>
      <c r="C500">
        <v>-79.477000000000004</v>
      </c>
      <c r="D500" t="s">
        <v>1531</v>
      </c>
      <c r="E500" s="5">
        <v>1</v>
      </c>
      <c r="F500" s="7">
        <v>1</v>
      </c>
      <c r="G500">
        <v>9.5</v>
      </c>
      <c r="H500" s="5">
        <f t="shared" si="13"/>
        <v>35.423124999999999</v>
      </c>
      <c r="I500">
        <f>(H500-7*8/2)/H500</f>
        <v>0.20955590451153022</v>
      </c>
      <c r="J500">
        <f>(H500-7*4/2)/H500</f>
        <v>0.60477795225576514</v>
      </c>
      <c r="K500" s="5">
        <f>8.5*4/2/H500</f>
        <v>0.47991248654657093</v>
      </c>
      <c r="L500" s="5">
        <f>6*3.5/2/H500</f>
        <v>0.29641653580817617</v>
      </c>
      <c r="M500" s="5">
        <f>7*6.5/2/H500</f>
        <v>0.64223582758438169</v>
      </c>
      <c r="N500" s="5">
        <f>4*5/2/H500</f>
        <v>0.2823014626744535</v>
      </c>
      <c r="O500" s="5">
        <f>1.2/H500</f>
        <v>3.3876175520934415E-2</v>
      </c>
      <c r="P500" s="5">
        <f>1.5/H500</f>
        <v>4.2345219401168026E-2</v>
      </c>
    </row>
    <row r="501" spans="1:16" hidden="1" x14ac:dyDescent="0.25">
      <c r="A501" t="s">
        <v>740</v>
      </c>
      <c r="B501">
        <v>36.079000000000001</v>
      </c>
      <c r="C501">
        <v>-115.155</v>
      </c>
      <c r="D501" t="s">
        <v>1628</v>
      </c>
      <c r="E501" s="5">
        <v>1</v>
      </c>
      <c r="F501" s="7">
        <v>1</v>
      </c>
      <c r="G501">
        <v>11</v>
      </c>
      <c r="H501" s="5">
        <f t="shared" si="13"/>
        <v>47.4925</v>
      </c>
      <c r="I501">
        <v>0</v>
      </c>
      <c r="J501" s="5">
        <v>0</v>
      </c>
      <c r="K501" s="5">
        <f>5.5*1.4/2/H501</f>
        <v>8.1065431383902709E-2</v>
      </c>
      <c r="L501" s="5">
        <f>6.5*4/2/H501</f>
        <v>0.27372743064694427</v>
      </c>
      <c r="M501">
        <f>4*5.5/2/H501</f>
        <v>0.23161551823972207</v>
      </c>
      <c r="N501">
        <f>3*2/H501</f>
        <v>0.12633573722166658</v>
      </c>
      <c r="O501">
        <v>0</v>
      </c>
      <c r="P501">
        <v>0</v>
      </c>
    </row>
    <row r="502" spans="1:16" hidden="1" x14ac:dyDescent="0.25">
      <c r="A502" t="s">
        <v>643</v>
      </c>
      <c r="B502">
        <v>36.097999999999999</v>
      </c>
      <c r="C502">
        <v>-79.944000000000003</v>
      </c>
      <c r="D502" t="s">
        <v>1529</v>
      </c>
      <c r="E502">
        <v>1</v>
      </c>
      <c r="F502" s="7">
        <v>1</v>
      </c>
      <c r="G502">
        <f>19/2</f>
        <v>9.5</v>
      </c>
      <c r="H502" s="5">
        <f t="shared" si="13"/>
        <v>35.423124999999999</v>
      </c>
      <c r="I502">
        <f>5*6/2/H502</f>
        <v>0.42345219401168022</v>
      </c>
      <c r="J502">
        <f>3.5/H502</f>
        <v>9.8805511936058715E-2</v>
      </c>
      <c r="K502">
        <v>0</v>
      </c>
      <c r="L502">
        <v>0</v>
      </c>
      <c r="M502">
        <v>0</v>
      </c>
      <c r="N502">
        <v>0</v>
      </c>
      <c r="O502">
        <v>0</v>
      </c>
      <c r="P502">
        <f>3*4.5/2/H502</f>
        <v>0.19055348730525612</v>
      </c>
    </row>
    <row r="503" spans="1:16" hidden="1" x14ac:dyDescent="0.25">
      <c r="A503" t="s">
        <v>955</v>
      </c>
      <c r="B503" s="5">
        <v>36.119</v>
      </c>
      <c r="C503" s="5">
        <v>-86.688999999999993</v>
      </c>
      <c r="D503" s="5" t="s">
        <v>1544</v>
      </c>
      <c r="E503" s="5">
        <v>1</v>
      </c>
      <c r="F503" s="7">
        <v>1</v>
      </c>
      <c r="G503">
        <v>11</v>
      </c>
      <c r="H503" s="5">
        <f t="shared" si="13"/>
        <v>47.4925</v>
      </c>
      <c r="I503">
        <f>0.3/H503</f>
        <v>6.3167868610833284E-3</v>
      </c>
      <c r="J503" s="5">
        <v>0</v>
      </c>
      <c r="K503" s="5">
        <v>0</v>
      </c>
      <c r="L503" s="5">
        <v>0</v>
      </c>
      <c r="M503" s="5">
        <v>0</v>
      </c>
      <c r="N503" s="5">
        <f>7*5/2/H503</f>
        <v>0.36847923356319418</v>
      </c>
      <c r="O503" s="5">
        <f>7*4.5/2/H503</f>
        <v>0.33163131020687475</v>
      </c>
      <c r="P503" s="5">
        <f>5/H503</f>
        <v>0.10527978101805548</v>
      </c>
    </row>
    <row r="504" spans="1:16" hidden="1" x14ac:dyDescent="0.25">
      <c r="A504" t="s">
        <v>645</v>
      </c>
      <c r="B504" s="5">
        <v>36.134</v>
      </c>
      <c r="C504" s="5">
        <v>-80.221999999999994</v>
      </c>
      <c r="D504" s="5" t="s">
        <v>1534</v>
      </c>
      <c r="E504" s="5">
        <v>1</v>
      </c>
      <c r="F504" s="7">
        <v>1</v>
      </c>
      <c r="G504">
        <f>23/2</f>
        <v>11.5</v>
      </c>
      <c r="H504" s="5">
        <f t="shared" si="13"/>
        <v>51.908124999999998</v>
      </c>
      <c r="I504">
        <f>2/H504</f>
        <v>3.8529613620218416E-2</v>
      </c>
      <c r="J504">
        <f>8.5*3.8/2/H504</f>
        <v>0.31112662998326368</v>
      </c>
      <c r="K504">
        <f>2.5/H504</f>
        <v>4.8162017025273021E-2</v>
      </c>
      <c r="L504">
        <f>7.5*1.5/2/H504</f>
        <v>0.10836453830686429</v>
      </c>
      <c r="M504">
        <f>3.5*7.5/2/H504</f>
        <v>0.25285058938268334</v>
      </c>
      <c r="N504">
        <f>8.5*9.5/2/H504</f>
        <v>0.77781657495815926</v>
      </c>
      <c r="O504">
        <f>12*2.8/2/H504</f>
        <v>0.32364875440983465</v>
      </c>
      <c r="P504">
        <f>2/H504</f>
        <v>3.8529613620218416E-2</v>
      </c>
    </row>
    <row r="505" spans="1:16" hidden="1" x14ac:dyDescent="0.25">
      <c r="A505" t="s">
        <v>837</v>
      </c>
      <c r="B505" s="5">
        <v>36.159999999999997</v>
      </c>
      <c r="C505" s="5">
        <v>-97.085999999999999</v>
      </c>
      <c r="D505" s="5" t="s">
        <v>1588</v>
      </c>
      <c r="E505" s="5">
        <v>1</v>
      </c>
      <c r="F505" s="7">
        <v>0</v>
      </c>
      <c r="G505">
        <v>10</v>
      </c>
      <c r="H505" s="5">
        <f t="shared" si="13"/>
        <v>39.25</v>
      </c>
      <c r="I505">
        <v>0</v>
      </c>
      <c r="J505">
        <v>0</v>
      </c>
      <c r="K505">
        <f>1.7/H505</f>
        <v>4.3312101910828023E-2</v>
      </c>
      <c r="L505">
        <f>1/H505</f>
        <v>2.5477707006369428E-2</v>
      </c>
      <c r="M505">
        <v>0</v>
      </c>
      <c r="N505" s="5">
        <v>0</v>
      </c>
      <c r="O505" s="5">
        <v>0</v>
      </c>
      <c r="P505" s="5">
        <v>0</v>
      </c>
    </row>
    <row r="506" spans="1:16" hidden="1" x14ac:dyDescent="0.25">
      <c r="A506" t="s">
        <v>41</v>
      </c>
      <c r="B506" s="5">
        <v>36.176000000000002</v>
      </c>
      <c r="C506" s="5">
        <v>-94.117000000000004</v>
      </c>
      <c r="D506" s="5" t="s">
        <v>1567</v>
      </c>
      <c r="E506" s="5">
        <v>1</v>
      </c>
      <c r="F506" s="7">
        <v>0</v>
      </c>
      <c r="G506">
        <f>22.7/2</f>
        <v>11.35</v>
      </c>
      <c r="H506" s="5">
        <f t="shared" si="13"/>
        <v>50.562831250000002</v>
      </c>
      <c r="I506">
        <f>3/H506</f>
        <v>5.9332120568307771E-2</v>
      </c>
      <c r="J506">
        <f>4*4.5/2/H506</f>
        <v>0.17799636170492331</v>
      </c>
      <c r="K506">
        <f>5.5*8/2/H506</f>
        <v>0.43510221750092365</v>
      </c>
      <c r="L506">
        <f>1.5*6/H506</f>
        <v>0.17799636170492331</v>
      </c>
      <c r="M506">
        <f>2.5/H506</f>
        <v>4.9443433806923141E-2</v>
      </c>
      <c r="N506">
        <f>5.5*2.4/2/H506</f>
        <v>0.13053066525027709</v>
      </c>
      <c r="O506">
        <f>8*4.5/2/H506</f>
        <v>0.35599272340984661</v>
      </c>
      <c r="P506">
        <f>8*8/2/H506</f>
        <v>0.63287595272861619</v>
      </c>
    </row>
    <row r="507" spans="1:16" hidden="1" x14ac:dyDescent="0.25">
      <c r="A507" t="s">
        <v>842</v>
      </c>
      <c r="B507">
        <v>36.198</v>
      </c>
      <c r="C507">
        <v>-95.885999999999996</v>
      </c>
      <c r="D507" t="s">
        <v>1593</v>
      </c>
      <c r="E507" s="5">
        <v>1</v>
      </c>
      <c r="F507" s="7">
        <v>1</v>
      </c>
      <c r="G507">
        <f>22.7/2</f>
        <v>11.35</v>
      </c>
      <c r="H507" s="5">
        <f t="shared" si="13"/>
        <v>50.562831250000002</v>
      </c>
      <c r="I507">
        <v>0</v>
      </c>
      <c r="J507">
        <f>5*8/2/H507</f>
        <v>0.39554747045538513</v>
      </c>
      <c r="K507">
        <f>3*5/2/H507</f>
        <v>0.14833030142076942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idden="1" x14ac:dyDescent="0.25">
      <c r="A508" t="s">
        <v>744</v>
      </c>
      <c r="B508" s="5">
        <v>36.212000000000003</v>
      </c>
      <c r="C508" s="5">
        <v>-115.196</v>
      </c>
      <c r="D508" s="5" t="s">
        <v>1786</v>
      </c>
      <c r="E508" s="5">
        <v>1</v>
      </c>
      <c r="F508" s="7">
        <v>1</v>
      </c>
      <c r="G508">
        <f>23.8/2</f>
        <v>11.9</v>
      </c>
      <c r="H508" s="5">
        <f t="shared" si="13"/>
        <v>55.581924999999998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idden="1" x14ac:dyDescent="0.25">
      <c r="A509" t="s">
        <v>741</v>
      </c>
      <c r="B509" s="5">
        <v>36.235999999999997</v>
      </c>
      <c r="C509" s="5">
        <v>-115.03400000000001</v>
      </c>
      <c r="D509" s="5" t="s">
        <v>1629</v>
      </c>
      <c r="E509" s="5">
        <v>1</v>
      </c>
      <c r="F509" s="7">
        <v>0</v>
      </c>
      <c r="G509">
        <f>21.5/2</f>
        <v>10.75</v>
      </c>
      <c r="H509" s="5">
        <f t="shared" si="13"/>
        <v>45.358281250000005</v>
      </c>
      <c r="I509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</row>
    <row r="510" spans="1:16" hidden="1" x14ac:dyDescent="0.25">
      <c r="A510" t="s">
        <v>46</v>
      </c>
      <c r="B510" s="5">
        <v>36.261000000000003</v>
      </c>
      <c r="C510" s="5">
        <v>-93.155000000000001</v>
      </c>
      <c r="D510" t="s">
        <v>1572</v>
      </c>
      <c r="E510" s="5">
        <v>1</v>
      </c>
      <c r="F510" s="7">
        <v>1</v>
      </c>
      <c r="G510">
        <f>22.5/2</f>
        <v>11.25</v>
      </c>
      <c r="H510" s="5">
        <f t="shared" si="13"/>
        <v>49.675781250000007</v>
      </c>
      <c r="I510">
        <f>5*4.5/2/H510</f>
        <v>0.22646850672328375</v>
      </c>
      <c r="J510">
        <v>0</v>
      </c>
      <c r="K510">
        <v>0</v>
      </c>
      <c r="L510">
        <v>0</v>
      </c>
      <c r="M510">
        <f>5.5*6.5/2/H510</f>
        <v>0.35983329401588421</v>
      </c>
      <c r="N510">
        <f>5*7/2/H510</f>
        <v>0.35228434379177476</v>
      </c>
      <c r="O510">
        <f>2/H510</f>
        <v>4.0261067861917112E-2</v>
      </c>
      <c r="P510">
        <f>5.5*5/2/H510</f>
        <v>0.27679484155068013</v>
      </c>
    </row>
    <row r="511" spans="1:16" hidden="1" x14ac:dyDescent="0.25">
      <c r="A511" t="s">
        <v>650</v>
      </c>
      <c r="B511" s="1">
        <v>36.261000000000003</v>
      </c>
      <c r="C511" s="1">
        <v>-76.174999999999997</v>
      </c>
      <c r="D511" s="1" t="s">
        <v>2266</v>
      </c>
      <c r="E511" s="5">
        <v>1</v>
      </c>
      <c r="F511" s="7">
        <v>1</v>
      </c>
      <c r="G511" s="5">
        <v>12</v>
      </c>
      <c r="H511" s="5">
        <f t="shared" ref="H511:H574" si="15">3.14*G511*G511/8</f>
        <v>56.519999999999996</v>
      </c>
      <c r="I511" s="5">
        <v>0</v>
      </c>
      <c r="J511" s="5">
        <v>0</v>
      </c>
      <c r="K511" s="5">
        <v>0</v>
      </c>
      <c r="L511" s="5">
        <f>10/H511</f>
        <v>0.17692852087756547</v>
      </c>
      <c r="M511" s="5">
        <f>3.8*2/H511</f>
        <v>0.13446567586694977</v>
      </c>
      <c r="N511" s="5">
        <v>0</v>
      </c>
      <c r="O511" s="5">
        <v>0</v>
      </c>
      <c r="P511" s="5">
        <v>0</v>
      </c>
    </row>
    <row r="512" spans="1:16" hidden="1" x14ac:dyDescent="0.25">
      <c r="A512" t="s">
        <v>598</v>
      </c>
      <c r="B512" s="1">
        <v>36.261000000000003</v>
      </c>
      <c r="C512" s="1">
        <v>-76.174999999999997</v>
      </c>
      <c r="D512" s="1" t="s">
        <v>2265</v>
      </c>
      <c r="E512" s="5">
        <v>1</v>
      </c>
      <c r="F512" s="7">
        <v>1</v>
      </c>
      <c r="G512">
        <v>12</v>
      </c>
      <c r="H512" s="5">
        <f t="shared" si="15"/>
        <v>56.519999999999996</v>
      </c>
      <c r="I512">
        <v>0</v>
      </c>
      <c r="J512">
        <v>0</v>
      </c>
      <c r="K512">
        <v>0</v>
      </c>
      <c r="L512">
        <f>10/H512</f>
        <v>0.17692852087756547</v>
      </c>
      <c r="M512">
        <f>3.8*2/H512</f>
        <v>0.13446567586694977</v>
      </c>
      <c r="N512">
        <v>0</v>
      </c>
      <c r="O512">
        <v>0</v>
      </c>
      <c r="P512">
        <v>0</v>
      </c>
    </row>
    <row r="513" spans="1:16" hidden="1" x14ac:dyDescent="0.25">
      <c r="A513" t="s">
        <v>43</v>
      </c>
      <c r="B513">
        <v>36.281999999999996</v>
      </c>
      <c r="C513">
        <v>-94.307000000000002</v>
      </c>
      <c r="D513" t="s">
        <v>1569</v>
      </c>
      <c r="E513" s="5">
        <v>1</v>
      </c>
      <c r="F513" s="7">
        <v>1</v>
      </c>
      <c r="G513">
        <f>22.6/2</f>
        <v>11.3</v>
      </c>
      <c r="H513" s="5">
        <f t="shared" si="15"/>
        <v>50.118325000000013</v>
      </c>
      <c r="I513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</row>
    <row r="514" spans="1:16" hidden="1" x14ac:dyDescent="0.25">
      <c r="A514" t="s">
        <v>830</v>
      </c>
      <c r="B514">
        <v>36.296999999999997</v>
      </c>
      <c r="C514">
        <v>-99.775000000000006</v>
      </c>
      <c r="D514" t="s">
        <v>1581</v>
      </c>
      <c r="E514" s="5">
        <v>1</v>
      </c>
      <c r="F514" s="7">
        <v>1</v>
      </c>
      <c r="G514">
        <f>24.5/2</f>
        <v>12.25</v>
      </c>
      <c r="H514" s="5">
        <f t="shared" si="15"/>
        <v>58.899531250000003</v>
      </c>
      <c r="I514">
        <v>0</v>
      </c>
      <c r="J514">
        <f>1.5/H514</f>
        <v>2.5467095716487555E-2</v>
      </c>
      <c r="K514" s="5">
        <f>6*1.3/H514</f>
        <v>0.1324288977257353</v>
      </c>
      <c r="L514" s="5">
        <f>1.5/H514</f>
        <v>2.5467095716487555E-2</v>
      </c>
      <c r="M514" s="5">
        <v>0</v>
      </c>
      <c r="N514" s="5">
        <v>0</v>
      </c>
      <c r="O514" s="5">
        <v>0</v>
      </c>
      <c r="P514">
        <v>0</v>
      </c>
    </row>
    <row r="515" spans="1:16" hidden="1" x14ac:dyDescent="0.25">
      <c r="A515" t="s">
        <v>137</v>
      </c>
      <c r="B515">
        <v>36.319000000000003</v>
      </c>
      <c r="C515">
        <v>-119.629</v>
      </c>
      <c r="D515" s="1" t="s">
        <v>1633</v>
      </c>
      <c r="E515" s="5">
        <v>1</v>
      </c>
      <c r="F515" s="7">
        <v>1</v>
      </c>
      <c r="G515">
        <f>21.5/2</f>
        <v>10.75</v>
      </c>
      <c r="H515" s="5">
        <f t="shared" si="15"/>
        <v>45.358281250000005</v>
      </c>
      <c r="I515">
        <v>0</v>
      </c>
      <c r="J515">
        <f>4*3.5/2/H515</f>
        <v>0.15432683530088565</v>
      </c>
      <c r="K515">
        <v>0</v>
      </c>
      <c r="L515">
        <v>0</v>
      </c>
      <c r="M515">
        <f>1/H515</f>
        <v>2.2046690757269376E-2</v>
      </c>
      <c r="N515">
        <f>2.5/H515</f>
        <v>5.5116726893173443E-2</v>
      </c>
      <c r="O515">
        <v>0</v>
      </c>
      <c r="P515">
        <v>0</v>
      </c>
    </row>
    <row r="516" spans="1:16" hidden="1" x14ac:dyDescent="0.25">
      <c r="A516" t="s">
        <v>192</v>
      </c>
      <c r="B516">
        <v>36.332999999999998</v>
      </c>
      <c r="C516">
        <v>-119.95</v>
      </c>
      <c r="D516" s="5" t="s">
        <v>2267</v>
      </c>
      <c r="E516" s="5">
        <v>1</v>
      </c>
      <c r="F516" s="7">
        <v>0</v>
      </c>
      <c r="G516">
        <f>18.7/2</f>
        <v>9.35</v>
      </c>
      <c r="H516" s="5">
        <f t="shared" si="15"/>
        <v>34.313331249999997</v>
      </c>
      <c r="I516">
        <v>0</v>
      </c>
      <c r="J516">
        <v>0</v>
      </c>
      <c r="K516">
        <v>0</v>
      </c>
      <c r="L516">
        <v>0</v>
      </c>
      <c r="M516">
        <f>4/H516</f>
        <v>0.1165727679092656</v>
      </c>
      <c r="N516">
        <f>2.7/H516</f>
        <v>7.8686618338754288E-2</v>
      </c>
      <c r="O516">
        <f>4.3/H516</f>
        <v>0.12531572550246051</v>
      </c>
      <c r="P516">
        <f>1.5/H516</f>
        <v>4.3714787965974597E-2</v>
      </c>
    </row>
    <row r="517" spans="1:16" hidden="1" x14ac:dyDescent="0.25">
      <c r="A517" t="s">
        <v>833</v>
      </c>
      <c r="B517" s="5">
        <v>36.338999999999999</v>
      </c>
      <c r="C517" s="5">
        <v>-97.994</v>
      </c>
      <c r="D517" s="5" t="s">
        <v>1584</v>
      </c>
      <c r="E517">
        <v>1</v>
      </c>
      <c r="F517" s="7">
        <v>0</v>
      </c>
      <c r="G517">
        <v>12</v>
      </c>
      <c r="H517" s="5">
        <f t="shared" si="15"/>
        <v>56.519999999999996</v>
      </c>
      <c r="I517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</row>
    <row r="518" spans="1:16" hidden="1" x14ac:dyDescent="0.25">
      <c r="A518" t="s">
        <v>47</v>
      </c>
      <c r="B518" s="5">
        <v>36.372</v>
      </c>
      <c r="C518" s="5">
        <v>-94.100999999999999</v>
      </c>
      <c r="D518" t="s">
        <v>1573</v>
      </c>
      <c r="E518">
        <v>1</v>
      </c>
      <c r="F518" s="7">
        <v>1</v>
      </c>
      <c r="G518">
        <f>12.5</f>
        <v>12.5</v>
      </c>
      <c r="H518" s="5">
        <f t="shared" si="15"/>
        <v>61.328125</v>
      </c>
      <c r="I518">
        <f>2/H518</f>
        <v>3.2611464968152863E-2</v>
      </c>
      <c r="J518">
        <v>0</v>
      </c>
      <c r="K518">
        <f>7/H518</f>
        <v>0.11414012738853503</v>
      </c>
      <c r="L518">
        <f>2/H518</f>
        <v>3.2611464968152863E-2</v>
      </c>
      <c r="M518">
        <v>0</v>
      </c>
      <c r="N518">
        <v>0</v>
      </c>
      <c r="O518">
        <f>5/H518</f>
        <v>8.1528662420382161E-2</v>
      </c>
      <c r="P518">
        <f>2/H518</f>
        <v>3.2611464968152863E-2</v>
      </c>
    </row>
    <row r="519" spans="1:16" hidden="1" x14ac:dyDescent="0.25">
      <c r="A519" t="s">
        <v>847</v>
      </c>
      <c r="B519">
        <v>36.436999999999998</v>
      </c>
      <c r="C519">
        <v>-99.516999999999996</v>
      </c>
      <c r="D519" t="s">
        <v>2260</v>
      </c>
      <c r="E519" s="5">
        <v>1</v>
      </c>
      <c r="F519" s="7">
        <v>0</v>
      </c>
      <c r="G519">
        <f>20.9/2</f>
        <v>10.45</v>
      </c>
      <c r="H519" s="5">
        <f t="shared" si="15"/>
        <v>42.861981249999999</v>
      </c>
      <c r="I519">
        <v>0</v>
      </c>
      <c r="J519">
        <v>0</v>
      </c>
      <c r="K519">
        <f>0.3/H519</f>
        <v>6.9992098183748793E-3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</row>
    <row r="520" spans="1:16" hidden="1" x14ac:dyDescent="0.25">
      <c r="A520" t="s">
        <v>647</v>
      </c>
      <c r="B520">
        <v>36.439</v>
      </c>
      <c r="C520">
        <v>-77.709999999999994</v>
      </c>
      <c r="D520" t="s">
        <v>1643</v>
      </c>
      <c r="E520" s="5">
        <v>1</v>
      </c>
      <c r="F520" s="7">
        <v>0</v>
      </c>
      <c r="G520">
        <f>20.5/2</f>
        <v>10.25</v>
      </c>
      <c r="H520" s="5">
        <f t="shared" si="15"/>
        <v>41.237031250000001</v>
      </c>
      <c r="I520">
        <f>6.5*8/2/H520</f>
        <v>0.63050125607672103</v>
      </c>
      <c r="J520">
        <f>1.5/H520</f>
        <v>3.6375072465964678E-2</v>
      </c>
      <c r="K520">
        <f>4/H520</f>
        <v>9.7000193242572474E-2</v>
      </c>
      <c r="L520">
        <f>6*3.5/2/H520</f>
        <v>0.25462550726175276</v>
      </c>
      <c r="M520">
        <f>6.5*3.5/2/H520</f>
        <v>0.27584429953356548</v>
      </c>
      <c r="N520">
        <f>1/H520</f>
        <v>2.4250048310643119E-2</v>
      </c>
      <c r="O520">
        <f>9*4/2/H520</f>
        <v>0.43650086959157613</v>
      </c>
      <c r="P520">
        <f>6*5.5/2/H520</f>
        <v>0.40012579712561147</v>
      </c>
    </row>
    <row r="521" spans="1:16" hidden="1" x14ac:dyDescent="0.25">
      <c r="A521" t="s">
        <v>722</v>
      </c>
      <c r="B521" s="1">
        <v>36.445999999999998</v>
      </c>
      <c r="C521" s="1">
        <v>-103.154</v>
      </c>
      <c r="D521" s="1" t="s">
        <v>1598</v>
      </c>
      <c r="E521" s="5">
        <v>1</v>
      </c>
      <c r="F521" s="7">
        <v>0</v>
      </c>
      <c r="G521" s="5">
        <f>26.2/2</f>
        <v>13.1</v>
      </c>
      <c r="H521" s="5">
        <f t="shared" si="15"/>
        <v>67.356925000000004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f>6/H521</f>
        <v>8.9077700622467545E-2</v>
      </c>
      <c r="P521" s="5">
        <f>2/H521</f>
        <v>2.9692566874155848E-2</v>
      </c>
    </row>
    <row r="522" spans="1:16" hidden="1" x14ac:dyDescent="0.25">
      <c r="A522" t="s">
        <v>728</v>
      </c>
      <c r="B522" s="1">
        <v>36.445999999999998</v>
      </c>
      <c r="C522" s="1">
        <v>-103.154</v>
      </c>
      <c r="D522" s="1" t="s">
        <v>1598</v>
      </c>
      <c r="E522">
        <v>1</v>
      </c>
      <c r="F522" s="7">
        <v>0</v>
      </c>
      <c r="G522">
        <f>26.2/2</f>
        <v>13.1</v>
      </c>
      <c r="H522" s="5">
        <f t="shared" si="15"/>
        <v>67.356925000000004</v>
      </c>
      <c r="I522">
        <v>0</v>
      </c>
      <c r="J522">
        <v>0</v>
      </c>
      <c r="K522">
        <v>0</v>
      </c>
      <c r="L522">
        <v>0</v>
      </c>
      <c r="M522" s="5">
        <v>0</v>
      </c>
      <c r="N522" s="5">
        <v>0</v>
      </c>
      <c r="O522" s="5">
        <f>6/H522</f>
        <v>8.9077700622467545E-2</v>
      </c>
      <c r="P522" s="5">
        <f>2/H522</f>
        <v>2.9692566874155848E-2</v>
      </c>
    </row>
    <row r="523" spans="1:16" hidden="1" x14ac:dyDescent="0.25">
      <c r="A523" t="s">
        <v>950</v>
      </c>
      <c r="B523" s="1">
        <v>36.479999999999997</v>
      </c>
      <c r="C523" s="1">
        <v>-82.399000000000001</v>
      </c>
      <c r="D523" s="1" t="s">
        <v>1533</v>
      </c>
      <c r="E523">
        <v>1</v>
      </c>
      <c r="F523" s="7">
        <v>1</v>
      </c>
      <c r="G523" s="5">
        <v>10</v>
      </c>
      <c r="H523" s="5">
        <f t="shared" si="15"/>
        <v>39.25</v>
      </c>
      <c r="I523" s="5">
        <f>1/H523</f>
        <v>2.5477707006369428E-2</v>
      </c>
      <c r="J523" s="5">
        <f>2.5/H523</f>
        <v>6.3694267515923567E-2</v>
      </c>
      <c r="K523" s="5">
        <f>2/H523</f>
        <v>5.0955414012738856E-2</v>
      </c>
      <c r="L523" s="5">
        <f>7*3.5/2/H523</f>
        <v>0.31210191082802546</v>
      </c>
      <c r="M523" s="5">
        <f>5*1.5/2/H523</f>
        <v>9.5541401273885357E-2</v>
      </c>
      <c r="N523" s="5">
        <v>0</v>
      </c>
      <c r="O523" s="5">
        <v>0</v>
      </c>
      <c r="P523" s="5">
        <v>0</v>
      </c>
    </row>
    <row r="524" spans="1:16" hidden="1" x14ac:dyDescent="0.25">
      <c r="A524" t="s">
        <v>949</v>
      </c>
      <c r="B524" s="1">
        <v>36.479999999999997</v>
      </c>
      <c r="C524" s="1">
        <v>-82.399000000000001</v>
      </c>
      <c r="D524" s="1" t="s">
        <v>1532</v>
      </c>
      <c r="E524">
        <v>1</v>
      </c>
      <c r="F524" s="7">
        <v>1</v>
      </c>
      <c r="G524">
        <v>10</v>
      </c>
      <c r="H524" s="5">
        <f t="shared" si="15"/>
        <v>39.25</v>
      </c>
      <c r="I524">
        <f>1/H524</f>
        <v>2.5477707006369428E-2</v>
      </c>
      <c r="J524">
        <f>2.5/H524</f>
        <v>6.3694267515923567E-2</v>
      </c>
      <c r="K524">
        <f>2/H524</f>
        <v>5.0955414012738856E-2</v>
      </c>
      <c r="L524">
        <f>7*3.5/2/H524</f>
        <v>0.31210191082802546</v>
      </c>
      <c r="M524">
        <f>5*1.5/2/H524</f>
        <v>9.5541401273885357E-2</v>
      </c>
      <c r="N524">
        <v>0</v>
      </c>
      <c r="O524">
        <v>0</v>
      </c>
      <c r="P524">
        <v>0</v>
      </c>
    </row>
    <row r="525" spans="1:16" hidden="1" x14ac:dyDescent="0.25">
      <c r="A525" t="s">
        <v>1083</v>
      </c>
      <c r="B525" s="5">
        <v>36.573</v>
      </c>
      <c r="C525" s="5">
        <v>-79.335999999999999</v>
      </c>
      <c r="D525" s="5" t="s">
        <v>1677</v>
      </c>
      <c r="E525">
        <v>1</v>
      </c>
      <c r="F525" s="7">
        <v>1</v>
      </c>
      <c r="G525">
        <f>23.5/2</f>
        <v>11.75</v>
      </c>
      <c r="H525" s="5">
        <f t="shared" si="15"/>
        <v>54.189531250000002</v>
      </c>
      <c r="I525">
        <f>2/H525</f>
        <v>3.6907497700489886E-2</v>
      </c>
      <c r="J525">
        <v>0</v>
      </c>
      <c r="K525" s="5">
        <f>4*3.5/H525</f>
        <v>0.25835248390342924</v>
      </c>
      <c r="L525" s="5">
        <f>10.5*7.5/2/H525</f>
        <v>0.72661636097839466</v>
      </c>
      <c r="M525" s="5">
        <f>8*11/2/H525</f>
        <v>0.81196494941077757</v>
      </c>
      <c r="N525" s="5">
        <f>1.5/H525</f>
        <v>2.7680623275367418E-2</v>
      </c>
      <c r="O525" s="5">
        <v>0</v>
      </c>
      <c r="P525" s="5">
        <v>0</v>
      </c>
    </row>
    <row r="526" spans="1:16" hidden="1" x14ac:dyDescent="0.25">
      <c r="A526" t="s">
        <v>157</v>
      </c>
      <c r="B526" s="5">
        <v>36.582999999999998</v>
      </c>
      <c r="C526" s="5">
        <v>-121.833</v>
      </c>
      <c r="D526" s="5" t="s">
        <v>1792</v>
      </c>
      <c r="E526">
        <v>1</v>
      </c>
      <c r="F526" s="7">
        <v>1</v>
      </c>
      <c r="G526">
        <f>23.2/2</f>
        <v>11.6</v>
      </c>
      <c r="H526" s="5">
        <f t="shared" si="15"/>
        <v>52.814799999999998</v>
      </c>
      <c r="I526">
        <f>(H526-5.5*6.5/2)/H526</f>
        <v>0.66155320099669035</v>
      </c>
      <c r="J526">
        <f>(H526-5*6.5/2)/H526</f>
        <v>0.69232109181517298</v>
      </c>
      <c r="K526">
        <f>8.5*4.5/2/H526</f>
        <v>0.36211440732521943</v>
      </c>
      <c r="L526">
        <v>0</v>
      </c>
      <c r="M526">
        <f>5*2.5/2/H526</f>
        <v>0.11833804160954885</v>
      </c>
      <c r="N526">
        <f>2.5*6.5/2/H526</f>
        <v>0.15383945409241351</v>
      </c>
      <c r="O526">
        <f>7/H526</f>
        <v>0.1325386066026947</v>
      </c>
      <c r="P526">
        <f>(H526-5.5*6.5/2)/H526</f>
        <v>0.66155320099669035</v>
      </c>
    </row>
    <row r="527" spans="1:16" hidden="1" x14ac:dyDescent="0.25">
      <c r="A527" t="s">
        <v>756</v>
      </c>
      <c r="B527" s="5">
        <v>36.582999999999998</v>
      </c>
      <c r="C527" s="5">
        <v>-115.667</v>
      </c>
      <c r="D527" s="5" t="s">
        <v>2257</v>
      </c>
      <c r="E527">
        <v>1</v>
      </c>
      <c r="F527" s="7">
        <v>1</v>
      </c>
      <c r="G527">
        <f>22.5/2</f>
        <v>11.25</v>
      </c>
      <c r="H527" s="5">
        <f t="shared" si="15"/>
        <v>49.675781250000007</v>
      </c>
      <c r="I527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</row>
    <row r="528" spans="1:16" hidden="1" x14ac:dyDescent="0.25">
      <c r="A528" t="s">
        <v>742</v>
      </c>
      <c r="B528" s="5">
        <v>36.621000000000002</v>
      </c>
      <c r="C528" s="5">
        <v>-116.02800000000001</v>
      </c>
      <c r="D528" s="5" t="s">
        <v>1630</v>
      </c>
      <c r="E528">
        <v>1</v>
      </c>
      <c r="F528" s="7">
        <v>0</v>
      </c>
      <c r="G528">
        <f>22.8/2</f>
        <v>11.4</v>
      </c>
      <c r="H528" s="5">
        <f t="shared" si="15"/>
        <v>51.009300000000003</v>
      </c>
      <c r="I528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</row>
    <row r="529" spans="1:16" hidden="1" x14ac:dyDescent="0.25">
      <c r="A529" t="s">
        <v>948</v>
      </c>
      <c r="B529">
        <v>36.622</v>
      </c>
      <c r="C529">
        <v>-87.415000000000006</v>
      </c>
      <c r="D529" t="s">
        <v>1255</v>
      </c>
      <c r="E529" s="5">
        <v>1</v>
      </c>
      <c r="F529" s="7">
        <v>0</v>
      </c>
      <c r="G529">
        <f>23/2</f>
        <v>11.5</v>
      </c>
      <c r="H529" s="5">
        <f t="shared" si="15"/>
        <v>51.908124999999998</v>
      </c>
      <c r="I529">
        <f>4*1.5/2/H529</f>
        <v>5.7794420430327627E-2</v>
      </c>
      <c r="J529">
        <f>1/H529</f>
        <v>1.9264806810109208E-2</v>
      </c>
      <c r="K529">
        <v>0</v>
      </c>
      <c r="L529">
        <v>0</v>
      </c>
      <c r="M529">
        <f>3*1.5/2/H529</f>
        <v>4.3345815322745715E-2</v>
      </c>
      <c r="N529">
        <f>5.5*2.4/2/H529</f>
        <v>0.12714772494672077</v>
      </c>
      <c r="O529">
        <f>2/H529</f>
        <v>3.8529613620218416E-2</v>
      </c>
      <c r="P529">
        <f>1/H529</f>
        <v>1.9264806810109208E-2</v>
      </c>
    </row>
    <row r="530" spans="1:16" hidden="1" x14ac:dyDescent="0.25">
      <c r="A530" t="s">
        <v>159</v>
      </c>
      <c r="B530">
        <v>36.662999999999997</v>
      </c>
      <c r="C530">
        <v>-121.605</v>
      </c>
      <c r="D530" t="s">
        <v>1793</v>
      </c>
      <c r="E530" s="5">
        <v>1</v>
      </c>
      <c r="F530" s="7">
        <v>1</v>
      </c>
      <c r="G530">
        <v>12</v>
      </c>
      <c r="H530" s="5">
        <f t="shared" si="15"/>
        <v>56.519999999999996</v>
      </c>
      <c r="I530">
        <v>0</v>
      </c>
      <c r="J530">
        <v>0</v>
      </c>
      <c r="K530">
        <v>0</v>
      </c>
      <c r="L530">
        <f>1/H530</f>
        <v>1.7692852087756547E-2</v>
      </c>
      <c r="M530">
        <f>9*4/2/H530</f>
        <v>0.31847133757961787</v>
      </c>
      <c r="N530">
        <f>5*3.5/2/H530</f>
        <v>0.15481245576786978</v>
      </c>
      <c r="O530">
        <f>3/H530</f>
        <v>5.3078556263269641E-2</v>
      </c>
      <c r="P530">
        <f>3/H530</f>
        <v>5.3078556263269641E-2</v>
      </c>
    </row>
    <row r="531" spans="1:16" x14ac:dyDescent="0.25">
      <c r="A531" t="s">
        <v>432</v>
      </c>
      <c r="B531">
        <v>36.673000000000002</v>
      </c>
      <c r="C531">
        <v>-87.492000000000004</v>
      </c>
      <c r="D531" t="s">
        <v>2261</v>
      </c>
      <c r="E531" s="5">
        <v>1</v>
      </c>
      <c r="F531" s="7">
        <v>0</v>
      </c>
      <c r="G531">
        <v>12.5</v>
      </c>
      <c r="H531" s="5">
        <f t="shared" si="15"/>
        <v>61.328125</v>
      </c>
      <c r="I531">
        <v>0</v>
      </c>
      <c r="J531">
        <v>0</v>
      </c>
      <c r="K531">
        <v>0</v>
      </c>
      <c r="L531">
        <f>1/H531</f>
        <v>1.6305732484076432E-2</v>
      </c>
      <c r="M531">
        <v>0</v>
      </c>
      <c r="N531" s="5">
        <v>0</v>
      </c>
      <c r="O531" s="5">
        <v>0</v>
      </c>
      <c r="P531" s="5">
        <v>0</v>
      </c>
    </row>
    <row r="532" spans="1:16" x14ac:dyDescent="0.25">
      <c r="A532" t="s">
        <v>826</v>
      </c>
      <c r="B532" s="5">
        <v>36.682000000000002</v>
      </c>
      <c r="C532" s="5">
        <v>-101.505</v>
      </c>
      <c r="D532" s="5" t="s">
        <v>1262</v>
      </c>
      <c r="E532" s="5">
        <v>1</v>
      </c>
      <c r="F532" s="7">
        <v>1</v>
      </c>
      <c r="G532">
        <f>23.8/2</f>
        <v>11.9</v>
      </c>
      <c r="H532" s="5">
        <f t="shared" si="15"/>
        <v>55.581924999999998</v>
      </c>
      <c r="I532">
        <v>0</v>
      </c>
      <c r="J532">
        <v>0</v>
      </c>
      <c r="K532">
        <v>0</v>
      </c>
      <c r="L532">
        <f>0.7/H532</f>
        <v>1.2594022247340299E-2</v>
      </c>
      <c r="M532">
        <f>6*4/2/H532</f>
        <v>0.21589752424011943</v>
      </c>
      <c r="N532">
        <f>3.5*4/2/H532</f>
        <v>0.125940222473403</v>
      </c>
      <c r="O532">
        <v>0</v>
      </c>
      <c r="P532">
        <v>0</v>
      </c>
    </row>
    <row r="533" spans="1:16" x14ac:dyDescent="0.25">
      <c r="A533" t="s">
        <v>158</v>
      </c>
      <c r="B533" s="2">
        <v>36.683</v>
      </c>
      <c r="C533" s="2">
        <v>-121.767</v>
      </c>
      <c r="D533" s="5" t="s">
        <v>1197</v>
      </c>
      <c r="E533" s="5">
        <v>1</v>
      </c>
      <c r="F533" s="7">
        <v>0</v>
      </c>
      <c r="G533" s="5">
        <f>23.8/2</f>
        <v>11.9</v>
      </c>
      <c r="H533" s="5">
        <f t="shared" si="15"/>
        <v>55.581924999999998</v>
      </c>
      <c r="I533" s="5">
        <v>0</v>
      </c>
      <c r="J533" s="5">
        <v>0</v>
      </c>
      <c r="K533" s="5">
        <v>0</v>
      </c>
      <c r="L533" s="5">
        <v>0</v>
      </c>
      <c r="M533" s="5">
        <f>3.5/H533</f>
        <v>6.2970111236701501E-2</v>
      </c>
      <c r="N533" s="5">
        <f>2.5/H533</f>
        <v>4.4978650883358215E-2</v>
      </c>
      <c r="O533" s="5">
        <v>0</v>
      </c>
      <c r="P533" s="5">
        <v>0</v>
      </c>
    </row>
    <row r="534" spans="1:16" x14ac:dyDescent="0.25">
      <c r="A534" t="s">
        <v>82</v>
      </c>
      <c r="B534" s="2">
        <v>36.683</v>
      </c>
      <c r="C534" s="2">
        <v>-121.767</v>
      </c>
      <c r="D534" t="s">
        <v>1189</v>
      </c>
      <c r="E534" s="5">
        <v>1</v>
      </c>
      <c r="F534" s="7">
        <v>0</v>
      </c>
      <c r="G534">
        <f>23.8/2</f>
        <v>11.9</v>
      </c>
      <c r="H534" s="5">
        <f t="shared" si="15"/>
        <v>55.581924999999998</v>
      </c>
      <c r="I534">
        <v>0</v>
      </c>
      <c r="J534">
        <v>0</v>
      </c>
      <c r="K534">
        <v>0</v>
      </c>
      <c r="L534">
        <v>0</v>
      </c>
      <c r="M534">
        <f>3.5/H534</f>
        <v>6.2970111236701501E-2</v>
      </c>
      <c r="N534">
        <f>2.5/H534</f>
        <v>4.4978650883358215E-2</v>
      </c>
      <c r="O534" s="5">
        <v>0</v>
      </c>
      <c r="P534">
        <v>0</v>
      </c>
    </row>
    <row r="535" spans="1:16" x14ac:dyDescent="0.25">
      <c r="A535" t="s">
        <v>838</v>
      </c>
      <c r="B535" s="5">
        <v>36.731000000000002</v>
      </c>
      <c r="C535" s="5">
        <v>-97.1</v>
      </c>
      <c r="D535" t="s">
        <v>1589</v>
      </c>
      <c r="E535">
        <v>1</v>
      </c>
      <c r="F535" s="7">
        <v>1</v>
      </c>
      <c r="G535">
        <v>10.5</v>
      </c>
      <c r="H535" s="5">
        <f t="shared" si="15"/>
        <v>43.273125</v>
      </c>
      <c r="I535">
        <v>0</v>
      </c>
      <c r="J535">
        <v>0</v>
      </c>
      <c r="K535">
        <f>2/H535</f>
        <v>4.6218062596588526E-2</v>
      </c>
      <c r="L535">
        <v>0</v>
      </c>
      <c r="M535">
        <f>4*4.5/2/H535</f>
        <v>0.20798128168464838</v>
      </c>
      <c r="N535">
        <f>2*2.5/H535</f>
        <v>0.11554515649147132</v>
      </c>
      <c r="O535">
        <f>1/H535</f>
        <v>2.3109031298294263E-2</v>
      </c>
      <c r="P535">
        <f>1.5/H535</f>
        <v>3.46635469474414E-2</v>
      </c>
    </row>
    <row r="536" spans="1:16" x14ac:dyDescent="0.25">
      <c r="A536" t="s">
        <v>711</v>
      </c>
      <c r="B536" s="5">
        <v>36.741</v>
      </c>
      <c r="C536" s="5">
        <v>-104.502</v>
      </c>
      <c r="D536" s="5" t="s">
        <v>1423</v>
      </c>
      <c r="E536" s="5">
        <v>1</v>
      </c>
      <c r="F536" s="7">
        <v>1</v>
      </c>
      <c r="G536">
        <f>24.4/2</f>
        <v>12.2</v>
      </c>
      <c r="H536" s="5">
        <f t="shared" si="15"/>
        <v>58.419699999999999</v>
      </c>
      <c r="I536">
        <f>0.3/H536</f>
        <v>5.1352540324582285E-3</v>
      </c>
      <c r="J536">
        <f>4.5/H536</f>
        <v>7.7028810486873434E-2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x14ac:dyDescent="0.25">
      <c r="A537" t="s">
        <v>727</v>
      </c>
      <c r="B537" s="5">
        <v>36.744</v>
      </c>
      <c r="C537" s="5">
        <v>-108.229</v>
      </c>
      <c r="D537" s="5" t="s">
        <v>1608</v>
      </c>
      <c r="E537" s="5">
        <v>1</v>
      </c>
      <c r="F537" s="7">
        <v>1</v>
      </c>
      <c r="G537">
        <f>21/2</f>
        <v>10.5</v>
      </c>
      <c r="H537" s="5">
        <f t="shared" si="15"/>
        <v>43.273125</v>
      </c>
      <c r="I537">
        <v>0</v>
      </c>
      <c r="J537">
        <v>0</v>
      </c>
      <c r="K537">
        <v>0</v>
      </c>
      <c r="L537">
        <v>0</v>
      </c>
      <c r="M537">
        <f>1/H537</f>
        <v>2.3109031298294263E-2</v>
      </c>
      <c r="N537">
        <v>0</v>
      </c>
      <c r="O537">
        <v>0</v>
      </c>
      <c r="P537">
        <v>0</v>
      </c>
    </row>
    <row r="538" spans="1:16" x14ac:dyDescent="0.25">
      <c r="A538" t="s">
        <v>844</v>
      </c>
      <c r="B538" s="5">
        <v>36.762</v>
      </c>
      <c r="C538" s="5">
        <v>-96.010999999999996</v>
      </c>
      <c r="D538" s="5" t="s">
        <v>1595</v>
      </c>
      <c r="E538" s="5">
        <v>1</v>
      </c>
      <c r="F538" s="7">
        <v>1</v>
      </c>
      <c r="G538">
        <f>19.8/2</f>
        <v>9.9</v>
      </c>
      <c r="H538" s="5">
        <f t="shared" si="15"/>
        <v>38.468925000000006</v>
      </c>
      <c r="I538">
        <f>1.5/H538</f>
        <v>3.8992511488168694E-2</v>
      </c>
      <c r="J538">
        <v>0</v>
      </c>
      <c r="K538">
        <f>2.8*0.8/H538</f>
        <v>5.822881715566524E-2</v>
      </c>
      <c r="L538">
        <v>0</v>
      </c>
      <c r="M538">
        <f>2/H538</f>
        <v>5.1990015317558258E-2</v>
      </c>
      <c r="N538">
        <f>2/H538</f>
        <v>5.1990015317558258E-2</v>
      </c>
      <c r="O538">
        <f>3/H538</f>
        <v>7.7985022976337387E-2</v>
      </c>
      <c r="P538">
        <f>5.8/H538</f>
        <v>0.15077104442091893</v>
      </c>
    </row>
    <row r="539" spans="1:16" x14ac:dyDescent="0.25">
      <c r="A539" t="s">
        <v>566</v>
      </c>
      <c r="B539" s="5">
        <v>36.773000000000003</v>
      </c>
      <c r="C539" s="5">
        <v>-90.325000000000003</v>
      </c>
      <c r="D539" s="5" t="s">
        <v>1547</v>
      </c>
      <c r="E539" s="5">
        <v>1</v>
      </c>
      <c r="F539" s="7">
        <v>1</v>
      </c>
      <c r="G539">
        <f>22.5/2</f>
        <v>11.25</v>
      </c>
      <c r="H539" s="5">
        <f t="shared" si="15"/>
        <v>49.675781250000007</v>
      </c>
      <c r="I539">
        <v>0</v>
      </c>
      <c r="J539">
        <v>0</v>
      </c>
      <c r="K539">
        <v>0</v>
      </c>
      <c r="L539">
        <f>1/H539</f>
        <v>2.0130533930958556E-2</v>
      </c>
      <c r="M539">
        <f>1.6/H539</f>
        <v>3.2208854289533691E-2</v>
      </c>
      <c r="N539">
        <v>0</v>
      </c>
      <c r="O539">
        <v>0</v>
      </c>
      <c r="P539">
        <v>0</v>
      </c>
    </row>
    <row r="540" spans="1:16" x14ac:dyDescent="0.25">
      <c r="A540" t="s">
        <v>135</v>
      </c>
      <c r="B540" s="5">
        <v>36.78</v>
      </c>
      <c r="C540" s="5">
        <v>-119.71899999999999</v>
      </c>
      <c r="D540" s="5" t="s">
        <v>1631</v>
      </c>
      <c r="E540" s="5">
        <v>1</v>
      </c>
      <c r="F540" s="7">
        <v>1</v>
      </c>
      <c r="G540">
        <v>12</v>
      </c>
      <c r="H540" s="5">
        <f t="shared" si="15"/>
        <v>56.519999999999996</v>
      </c>
      <c r="I540">
        <f>6/H540</f>
        <v>0.10615711252653928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t="s">
        <v>1068</v>
      </c>
      <c r="B541">
        <v>36.817</v>
      </c>
      <c r="C541">
        <v>-76.033000000000001</v>
      </c>
      <c r="D541" s="5" t="s">
        <v>1500</v>
      </c>
      <c r="E541" s="5">
        <v>1</v>
      </c>
      <c r="F541" s="7">
        <v>1</v>
      </c>
      <c r="G541">
        <f>23/2</f>
        <v>11.5</v>
      </c>
      <c r="H541" s="5">
        <f t="shared" si="15"/>
        <v>51.908124999999998</v>
      </c>
      <c r="I541">
        <v>0</v>
      </c>
      <c r="J541">
        <v>0</v>
      </c>
      <c r="K541">
        <v>0</v>
      </c>
      <c r="L541">
        <v>0</v>
      </c>
      <c r="M541">
        <f>2.5/H541</f>
        <v>4.8162017025273021E-2</v>
      </c>
      <c r="N541" s="5">
        <v>0</v>
      </c>
      <c r="O541" s="5">
        <v>0</v>
      </c>
      <c r="P541" s="5">
        <v>0</v>
      </c>
    </row>
    <row r="542" spans="1:16" x14ac:dyDescent="0.25">
      <c r="A542" t="s">
        <v>422</v>
      </c>
      <c r="B542" s="5">
        <v>36.854999999999997</v>
      </c>
      <c r="C542" s="5">
        <v>-84.855999999999995</v>
      </c>
      <c r="D542" s="5" t="s">
        <v>1218</v>
      </c>
      <c r="E542">
        <v>1</v>
      </c>
      <c r="F542" s="7">
        <v>1</v>
      </c>
      <c r="G542">
        <v>12.5</v>
      </c>
      <c r="H542" s="5">
        <f t="shared" si="15"/>
        <v>61.328125</v>
      </c>
      <c r="I542">
        <v>0</v>
      </c>
      <c r="J542">
        <v>0</v>
      </c>
      <c r="K542">
        <f>1/H542</f>
        <v>1.6305732484076432E-2</v>
      </c>
      <c r="L542">
        <f>0.7/H542</f>
        <v>1.1414012738853502E-2</v>
      </c>
      <c r="M542">
        <f>0.7/H542</f>
        <v>1.1414012738853502E-2</v>
      </c>
      <c r="N542">
        <v>0</v>
      </c>
      <c r="O542" s="5">
        <v>0</v>
      </c>
      <c r="P542" s="5">
        <v>0</v>
      </c>
    </row>
    <row r="543" spans="1:16" x14ac:dyDescent="0.25">
      <c r="A543" t="s">
        <v>567</v>
      </c>
      <c r="B543">
        <v>36.878</v>
      </c>
      <c r="C543">
        <v>-91.903000000000006</v>
      </c>
      <c r="D543" t="s">
        <v>1574</v>
      </c>
      <c r="E543" s="5">
        <v>1</v>
      </c>
      <c r="F543" s="7">
        <v>1</v>
      </c>
      <c r="G543">
        <f>22.5/2</f>
        <v>11.25</v>
      </c>
      <c r="H543" s="5">
        <f t="shared" si="15"/>
        <v>49.675781250000007</v>
      </c>
      <c r="I543">
        <f>4*3.8/2/H543</f>
        <v>0.15299205787528503</v>
      </c>
      <c r="J543">
        <f>2.5/H543</f>
        <v>5.0326334827396388E-2</v>
      </c>
      <c r="K543">
        <f>2.5*4.5/2/H543</f>
        <v>0.11323425336164188</v>
      </c>
      <c r="L543">
        <f>1/H543</f>
        <v>2.0130533930958556E-2</v>
      </c>
      <c r="M543">
        <f>4*4/2/H543</f>
        <v>0.16104427144766845</v>
      </c>
      <c r="N543">
        <v>0</v>
      </c>
      <c r="O543" s="5">
        <f>0.5/H543</f>
        <v>1.0065266965479278E-2</v>
      </c>
      <c r="P543" s="5">
        <f>4/H543</f>
        <v>8.0522135723834223E-2</v>
      </c>
    </row>
    <row r="544" spans="1:16" x14ac:dyDescent="0.25">
      <c r="A544" t="s">
        <v>1069</v>
      </c>
      <c r="B544" s="5">
        <v>36.904000000000003</v>
      </c>
      <c r="C544" s="5">
        <v>-76.191999999999993</v>
      </c>
      <c r="D544" s="5" t="s">
        <v>1501</v>
      </c>
      <c r="E544" s="5">
        <v>1</v>
      </c>
      <c r="F544" s="7">
        <v>1</v>
      </c>
      <c r="G544">
        <v>11.5</v>
      </c>
      <c r="H544" s="5">
        <f t="shared" si="15"/>
        <v>51.908124999999998</v>
      </c>
      <c r="I544">
        <f>4*3.5/2/H544</f>
        <v>0.13485364767076446</v>
      </c>
      <c r="J544">
        <v>0</v>
      </c>
      <c r="K544">
        <f>1.7/H544</f>
        <v>3.2750171577185655E-2</v>
      </c>
      <c r="L544">
        <f>0.8/H544</f>
        <v>1.5411845448087368E-2</v>
      </c>
      <c r="M544">
        <f>5.5*2.5/2/H544</f>
        <v>0.1324455468195008</v>
      </c>
      <c r="N544">
        <f>0.4/H544</f>
        <v>7.705922724043684E-3</v>
      </c>
      <c r="O544" s="5">
        <f>6*5.7/2/H544</f>
        <v>0.32942819645286747</v>
      </c>
      <c r="P544" s="5">
        <f>5.5*4.7/2/H544</f>
        <v>0.24899762802066153</v>
      </c>
    </row>
    <row r="545" spans="1:16" x14ac:dyDescent="0.25">
      <c r="A545" t="s">
        <v>70</v>
      </c>
      <c r="B545" s="5">
        <v>36.926000000000002</v>
      </c>
      <c r="C545" s="5">
        <v>-111.44799999999999</v>
      </c>
      <c r="D545" s="5" t="s">
        <v>1612</v>
      </c>
      <c r="E545">
        <v>1</v>
      </c>
      <c r="F545" s="7">
        <v>1</v>
      </c>
      <c r="G545">
        <v>10</v>
      </c>
      <c r="H545" s="5">
        <f t="shared" si="15"/>
        <v>39.25</v>
      </c>
      <c r="I545">
        <f>0.5/H545</f>
        <v>1.2738853503184714E-2</v>
      </c>
      <c r="J545">
        <v>0</v>
      </c>
      <c r="K545">
        <v>0</v>
      </c>
      <c r="L545">
        <v>0</v>
      </c>
      <c r="M545">
        <f>5*7/2/H545</f>
        <v>0.44585987261146498</v>
      </c>
      <c r="N545">
        <f>(H545-2.5*3.5/2)/H545</f>
        <v>0.88853503184713378</v>
      </c>
      <c r="O545">
        <f>(H545-2.5*3.5/2)/H545</f>
        <v>0.88853503184713378</v>
      </c>
      <c r="P545">
        <f>8*4/2/H545</f>
        <v>0.40764331210191085</v>
      </c>
    </row>
    <row r="546" spans="1:16" x14ac:dyDescent="0.25">
      <c r="A546" t="s">
        <v>1071</v>
      </c>
      <c r="B546" s="5">
        <v>36.933</v>
      </c>
      <c r="C546" s="5">
        <v>-76.283000000000001</v>
      </c>
      <c r="D546" t="s">
        <v>1503</v>
      </c>
      <c r="E546">
        <v>1</v>
      </c>
      <c r="F546" s="7">
        <v>1</v>
      </c>
      <c r="G546">
        <v>12</v>
      </c>
      <c r="H546" s="5">
        <f t="shared" si="15"/>
        <v>56.519999999999996</v>
      </c>
      <c r="I546">
        <v>0</v>
      </c>
      <c r="J546">
        <v>0</v>
      </c>
      <c r="K546">
        <v>0</v>
      </c>
      <c r="L546">
        <f>0.8/H546</f>
        <v>1.415428167020524E-2</v>
      </c>
      <c r="M546" s="5">
        <f>6.5*7.5/2/H546</f>
        <v>0.43126326963906586</v>
      </c>
      <c r="N546" s="5">
        <f>0.4/H546</f>
        <v>7.0771408351026199E-3</v>
      </c>
      <c r="O546" s="5">
        <f>8*7.5/2/H546</f>
        <v>0.53078556263269638</v>
      </c>
      <c r="P546">
        <v>0</v>
      </c>
    </row>
    <row r="547" spans="1:16" x14ac:dyDescent="0.25">
      <c r="A547" t="s">
        <v>186</v>
      </c>
      <c r="B547">
        <v>36.936</v>
      </c>
      <c r="C547">
        <v>-121.789</v>
      </c>
      <c r="D547" t="s">
        <v>2246</v>
      </c>
      <c r="E547" s="5">
        <v>1</v>
      </c>
      <c r="F547" s="7">
        <v>1</v>
      </c>
      <c r="G547">
        <v>12</v>
      </c>
      <c r="H547" s="5">
        <f t="shared" si="15"/>
        <v>56.519999999999996</v>
      </c>
      <c r="I547">
        <f>9*10/2/H547</f>
        <v>0.79617834394904463</v>
      </c>
      <c r="J547">
        <f>9.5*7/2/H547</f>
        <v>0.58828733191790517</v>
      </c>
      <c r="K547">
        <f>1.5*4/2/H547</f>
        <v>5.3078556263269641E-2</v>
      </c>
      <c r="L547" s="5">
        <v>0</v>
      </c>
      <c r="M547" s="5">
        <v>0</v>
      </c>
      <c r="N547">
        <v>0</v>
      </c>
      <c r="O547">
        <f>10/H547</f>
        <v>0.17692852087756547</v>
      </c>
      <c r="P547">
        <f>8.5*8/2/H547</f>
        <v>0.60155697098372263</v>
      </c>
    </row>
    <row r="548" spans="1:16" x14ac:dyDescent="0.25">
      <c r="A548" t="s">
        <v>739</v>
      </c>
      <c r="B548" s="5">
        <v>36.950000000000003</v>
      </c>
      <c r="C548" s="5">
        <v>-116.05</v>
      </c>
      <c r="D548" s="5" t="s">
        <v>2325</v>
      </c>
      <c r="E548" s="5">
        <v>1</v>
      </c>
      <c r="F548" s="7">
        <v>0</v>
      </c>
      <c r="G548">
        <f>18.8/2</f>
        <v>9.4</v>
      </c>
      <c r="H548" s="5">
        <f t="shared" si="15"/>
        <v>34.6813</v>
      </c>
      <c r="I548">
        <f>0.5/H548</f>
        <v>1.4416991289253863E-2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</row>
    <row r="549" spans="1:16" ht="15.75" customHeight="1" x14ac:dyDescent="0.25">
      <c r="A549" t="s">
        <v>434</v>
      </c>
      <c r="B549" s="5">
        <v>36.981000000000002</v>
      </c>
      <c r="C549" s="5">
        <v>-86.436000000000007</v>
      </c>
      <c r="D549" s="5" t="s">
        <v>2262</v>
      </c>
      <c r="E549" s="5">
        <v>1</v>
      </c>
      <c r="F549" s="7">
        <v>1</v>
      </c>
      <c r="G549">
        <v>10.5</v>
      </c>
      <c r="H549" s="5">
        <f t="shared" si="15"/>
        <v>43.273125</v>
      </c>
      <c r="I549" s="5">
        <f>2.5*4/H549</f>
        <v>0.23109031298294264</v>
      </c>
      <c r="J549" s="5">
        <f>0.5/H549</f>
        <v>1.1554515649147131E-2</v>
      </c>
      <c r="K549" s="5">
        <v>0</v>
      </c>
      <c r="L549" s="5">
        <v>0</v>
      </c>
      <c r="M549" s="5">
        <v>0</v>
      </c>
      <c r="N549" s="5">
        <f>3.5/H549</f>
        <v>8.0881609544029925E-2</v>
      </c>
      <c r="O549" s="5">
        <v>0</v>
      </c>
      <c r="P549" s="5">
        <f>5/H549</f>
        <v>0.11554515649147132</v>
      </c>
    </row>
    <row r="550" spans="1:16" x14ac:dyDescent="0.25">
      <c r="A550" t="s">
        <v>1076</v>
      </c>
      <c r="B550">
        <v>36.984000000000002</v>
      </c>
      <c r="C550">
        <v>-77.007000000000005</v>
      </c>
      <c r="D550" t="s">
        <v>1646</v>
      </c>
      <c r="E550" s="5">
        <v>1</v>
      </c>
      <c r="F550" s="7">
        <v>1</v>
      </c>
      <c r="G550">
        <v>10.5</v>
      </c>
      <c r="H550" s="5">
        <f t="shared" si="15"/>
        <v>43.273125</v>
      </c>
      <c r="I550">
        <f>4*3.5/2/H550</f>
        <v>0.16176321908805985</v>
      </c>
      <c r="J550">
        <f>(H550-3.4*4/2)/H550</f>
        <v>0.84285858717159912</v>
      </c>
      <c r="K550">
        <f>(H550-3*3/2)/H550</f>
        <v>0.89600935915767577</v>
      </c>
      <c r="L550" s="5">
        <f>(H550-3.5*4/2)/H550</f>
        <v>0.83823678091194009</v>
      </c>
      <c r="M550" s="5">
        <f>3.5*4/2/H550</f>
        <v>0.16176321908805985</v>
      </c>
      <c r="N550" s="5">
        <f>(H550-5.5*3/2-6*2.5/2)/H550</f>
        <v>0.63603275705186535</v>
      </c>
      <c r="O550" s="5">
        <f>(H550-9*5/2)/H550</f>
        <v>0.48004679578837905</v>
      </c>
      <c r="P550">
        <f>(H550-6*2.5/2)/H550</f>
        <v>0.82668226526279298</v>
      </c>
    </row>
    <row r="551" spans="1:16" x14ac:dyDescent="0.25">
      <c r="A551" t="s">
        <v>183</v>
      </c>
      <c r="B551">
        <v>36.988</v>
      </c>
      <c r="C551">
        <v>-120.111</v>
      </c>
      <c r="D551" t="s">
        <v>2243</v>
      </c>
      <c r="E551">
        <v>1</v>
      </c>
      <c r="F551" s="7">
        <v>1</v>
      </c>
      <c r="G551">
        <v>10.5</v>
      </c>
      <c r="H551" s="5">
        <f t="shared" si="15"/>
        <v>43.273125</v>
      </c>
      <c r="I551">
        <f>0.5/H551</f>
        <v>1.1554515649147131E-2</v>
      </c>
      <c r="J551">
        <f>3/H551</f>
        <v>6.9327093894882799E-2</v>
      </c>
      <c r="K551">
        <f>1/H551</f>
        <v>2.3109031298294263E-2</v>
      </c>
      <c r="L551">
        <v>0</v>
      </c>
      <c r="M551">
        <v>0</v>
      </c>
      <c r="N551">
        <f>0.5/H551</f>
        <v>1.1554515649147131E-2</v>
      </c>
      <c r="O551">
        <v>0</v>
      </c>
      <c r="P551">
        <v>0</v>
      </c>
    </row>
    <row r="552" spans="1:16" x14ac:dyDescent="0.25">
      <c r="A552" t="s">
        <v>431</v>
      </c>
      <c r="B552" s="1">
        <v>37.055999999999997</v>
      </c>
      <c r="C552" s="1">
        <v>-88.774000000000001</v>
      </c>
      <c r="D552" s="1" t="s">
        <v>1715</v>
      </c>
      <c r="E552" s="5">
        <v>1</v>
      </c>
      <c r="F552" s="7">
        <v>1</v>
      </c>
      <c r="G552">
        <f>21.5/2</f>
        <v>10.75</v>
      </c>
      <c r="H552" s="5">
        <f t="shared" si="15"/>
        <v>45.358281250000005</v>
      </c>
      <c r="I552">
        <v>0</v>
      </c>
      <c r="J552" s="5">
        <v>0</v>
      </c>
      <c r="K552" s="5">
        <v>0</v>
      </c>
      <c r="L552" s="5">
        <v>0</v>
      </c>
      <c r="M552" s="5">
        <f>5*6/H552</f>
        <v>0.66140072271808137</v>
      </c>
      <c r="N552" s="5">
        <f>3*6/2/H552</f>
        <v>0.19842021681542441</v>
      </c>
      <c r="O552" s="5">
        <v>0</v>
      </c>
      <c r="P552" s="5">
        <f>5.5/H552</f>
        <v>0.12125679916498157</v>
      </c>
    </row>
    <row r="553" spans="1:16" x14ac:dyDescent="0.25">
      <c r="A553" t="s">
        <v>433</v>
      </c>
      <c r="B553" s="1">
        <v>37.055999999999997</v>
      </c>
      <c r="C553" s="1">
        <v>-88.774000000000001</v>
      </c>
      <c r="D553" s="1" t="s">
        <v>1715</v>
      </c>
      <c r="E553" s="5">
        <v>1</v>
      </c>
      <c r="F553" s="7">
        <v>1</v>
      </c>
      <c r="G553">
        <f>21.5/2</f>
        <v>10.75</v>
      </c>
      <c r="H553" s="5">
        <f t="shared" si="15"/>
        <v>45.358281250000005</v>
      </c>
      <c r="I553">
        <v>0</v>
      </c>
      <c r="J553">
        <v>0</v>
      </c>
      <c r="K553">
        <v>0</v>
      </c>
      <c r="L553">
        <v>0</v>
      </c>
      <c r="M553">
        <f>5*6/H553</f>
        <v>0.66140072271808137</v>
      </c>
      <c r="N553">
        <f>3*6/2/H553</f>
        <v>0.19842021681542441</v>
      </c>
      <c r="O553">
        <v>0</v>
      </c>
      <c r="P553">
        <f>5.5/H553</f>
        <v>0.12125679916498157</v>
      </c>
    </row>
    <row r="554" spans="1:16" x14ac:dyDescent="0.25">
      <c r="A554" t="s">
        <v>1066</v>
      </c>
      <c r="B554">
        <v>37.064</v>
      </c>
      <c r="C554">
        <v>-81.798000000000002</v>
      </c>
      <c r="D554" t="s">
        <v>1209</v>
      </c>
      <c r="E554" s="5">
        <v>1</v>
      </c>
      <c r="F554" s="7">
        <v>0</v>
      </c>
      <c r="G554">
        <f>18.3/2</f>
        <v>9.15</v>
      </c>
      <c r="H554" s="5">
        <f t="shared" si="15"/>
        <v>32.861081250000005</v>
      </c>
      <c r="I554">
        <f>7*6/2/H554</f>
        <v>0.6390538351503573</v>
      </c>
      <c r="J554">
        <f>6.5*3.5/2/H554</f>
        <v>0.3461541607064435</v>
      </c>
      <c r="K554">
        <f>7*6.5/2/H554</f>
        <v>0.69230832141288701</v>
      </c>
      <c r="L554">
        <f>8.5*6/2/H554</f>
        <v>0.77599394268257671</v>
      </c>
      <c r="M554">
        <f>2*4/H554</f>
        <v>0.24344908005727897</v>
      </c>
      <c r="N554">
        <f>6*4.5/2/H554</f>
        <v>0.41082032259665824</v>
      </c>
      <c r="O554">
        <f>6*3.7/2/H554</f>
        <v>0.3377855985794746</v>
      </c>
      <c r="P554">
        <f>5.5*3.5/2/H554</f>
        <v>0.29289967444391374</v>
      </c>
    </row>
    <row r="555" spans="1:16" x14ac:dyDescent="0.25">
      <c r="A555" t="s">
        <v>1085</v>
      </c>
      <c r="B555" s="5">
        <v>37.082999999999998</v>
      </c>
      <c r="C555" s="5">
        <v>-76.36</v>
      </c>
      <c r="D555" s="5" t="s">
        <v>2254</v>
      </c>
      <c r="E555" s="5">
        <v>1</v>
      </c>
      <c r="F555" s="7">
        <v>0</v>
      </c>
      <c r="G555">
        <f>19/2</f>
        <v>9.5</v>
      </c>
      <c r="H555" s="5">
        <f t="shared" si="15"/>
        <v>35.423124999999999</v>
      </c>
      <c r="I55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</row>
    <row r="556" spans="1:16" x14ac:dyDescent="0.25">
      <c r="A556" t="s">
        <v>565</v>
      </c>
      <c r="B556" s="1">
        <v>37.087000000000003</v>
      </c>
      <c r="C556" s="1">
        <v>-84.076999999999998</v>
      </c>
      <c r="D556" s="1" t="s">
        <v>1546</v>
      </c>
      <c r="E556" s="5">
        <v>1</v>
      </c>
      <c r="F556" s="7">
        <v>1</v>
      </c>
      <c r="G556">
        <v>10.5</v>
      </c>
      <c r="H556" s="5">
        <f t="shared" si="15"/>
        <v>43.273125</v>
      </c>
      <c r="I556">
        <f>4.5*3.5/2/H556</f>
        <v>0.18198362147406733</v>
      </c>
      <c r="J556">
        <v>0</v>
      </c>
      <c r="K556">
        <f>2*3/H556</f>
        <v>0.1386541877897656</v>
      </c>
      <c r="L556">
        <f>3/H556</f>
        <v>6.9327093894882799E-2</v>
      </c>
      <c r="M556">
        <f>8.5*9.5/2/H556</f>
        <v>0.93302713866863096</v>
      </c>
      <c r="N556">
        <f>3*9.5/2/H556</f>
        <v>0.32930369600069326</v>
      </c>
      <c r="O556">
        <f>6/H556</f>
        <v>0.1386541877897656</v>
      </c>
      <c r="P556">
        <f>3/H556</f>
        <v>6.9327093894882799E-2</v>
      </c>
    </row>
    <row r="557" spans="1:16" x14ac:dyDescent="0.25">
      <c r="A557" t="s">
        <v>430</v>
      </c>
      <c r="B557" s="1">
        <v>37.087000000000003</v>
      </c>
      <c r="C557" s="1">
        <v>-84.076999999999998</v>
      </c>
      <c r="D557" s="1" t="s">
        <v>1546</v>
      </c>
      <c r="E557" s="5">
        <v>1</v>
      </c>
      <c r="F557" s="7">
        <v>1</v>
      </c>
      <c r="G557">
        <v>10.5</v>
      </c>
      <c r="H557" s="5">
        <f t="shared" si="15"/>
        <v>43.273125</v>
      </c>
      <c r="I557">
        <f>4.5*3.5/2/H557</f>
        <v>0.18198362147406733</v>
      </c>
      <c r="J557">
        <v>0</v>
      </c>
      <c r="K557">
        <f>2*3/H557</f>
        <v>0.1386541877897656</v>
      </c>
      <c r="L557">
        <f>3/H557</f>
        <v>6.9327093894882799E-2</v>
      </c>
      <c r="M557">
        <f>8.5*9.5/2/H557</f>
        <v>0.93302713866863096</v>
      </c>
      <c r="N557">
        <f>3*9.5/2/H557</f>
        <v>0.32930369600069326</v>
      </c>
      <c r="O557">
        <f>6/H557</f>
        <v>0.1386541877897656</v>
      </c>
      <c r="P557">
        <f>3/H557</f>
        <v>6.9327093894882799E-2</v>
      </c>
    </row>
    <row r="558" spans="1:16" x14ac:dyDescent="0.25">
      <c r="A558" t="s">
        <v>1072</v>
      </c>
      <c r="B558">
        <v>37.131999999999998</v>
      </c>
      <c r="C558">
        <v>-76.492999999999995</v>
      </c>
      <c r="D558" t="s">
        <v>1504</v>
      </c>
      <c r="E558" s="5">
        <v>1</v>
      </c>
      <c r="F558" s="7">
        <v>1</v>
      </c>
      <c r="G558">
        <f>20.5/2</f>
        <v>10.25</v>
      </c>
      <c r="H558" s="5">
        <f t="shared" si="15"/>
        <v>41.237031250000001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t="s">
        <v>1073</v>
      </c>
      <c r="B559">
        <v>37.133000000000003</v>
      </c>
      <c r="C559">
        <v>-76.608999999999995</v>
      </c>
      <c r="D559" t="s">
        <v>1505</v>
      </c>
      <c r="E559" s="5">
        <v>1</v>
      </c>
      <c r="F559" s="7">
        <v>1</v>
      </c>
      <c r="G559">
        <v>11</v>
      </c>
      <c r="H559" s="5">
        <f t="shared" si="15"/>
        <v>47.4925</v>
      </c>
      <c r="I559">
        <f>1.6*4/H559</f>
        <v>0.13475811970311102</v>
      </c>
      <c r="J559">
        <f>3*2.5/H559</f>
        <v>0.15791967152708322</v>
      </c>
      <c r="K559">
        <f>3*2/H559</f>
        <v>0.12633573722166658</v>
      </c>
      <c r="L559">
        <f>3*5.5/2/H559</f>
        <v>0.17371163867979156</v>
      </c>
      <c r="M559">
        <f>5.5*5.5/2/H559</f>
        <v>0.31847133757961782</v>
      </c>
      <c r="N559">
        <f>6*3.7/2/H559</f>
        <v>0.23372111386008321</v>
      </c>
      <c r="O559" s="5">
        <f>4.5*4.5/2/H559</f>
        <v>0.21319155656156236</v>
      </c>
      <c r="P559" s="5">
        <f>6.5*0.8/2/H559</f>
        <v>5.474548612938885E-2</v>
      </c>
    </row>
    <row r="560" spans="1:16" x14ac:dyDescent="0.25">
      <c r="A560" t="s">
        <v>201</v>
      </c>
      <c r="B560">
        <v>37.143000000000001</v>
      </c>
      <c r="C560">
        <v>-107.76</v>
      </c>
      <c r="D560" t="s">
        <v>1743</v>
      </c>
      <c r="E560" s="5">
        <v>1</v>
      </c>
      <c r="F560" s="7">
        <v>1</v>
      </c>
      <c r="G560">
        <v>13</v>
      </c>
      <c r="H560" s="5">
        <f t="shared" si="15"/>
        <v>66.332499999999996</v>
      </c>
      <c r="I560">
        <f>2*5/2/H560</f>
        <v>7.5377831379791205E-2</v>
      </c>
      <c r="J560">
        <v>0</v>
      </c>
      <c r="K560">
        <f>8*7.5/2/H560</f>
        <v>0.45226698827874723</v>
      </c>
      <c r="L560">
        <f>9*5/2/H560</f>
        <v>0.33920024120906045</v>
      </c>
      <c r="M560">
        <f>7*3.5/2/H560</f>
        <v>0.18467568688048847</v>
      </c>
      <c r="N560">
        <v>0</v>
      </c>
      <c r="O560">
        <f>4/H560</f>
        <v>6.0302265103832964E-2</v>
      </c>
      <c r="P560" s="5">
        <f>8*2.5/2/H560</f>
        <v>0.15075566275958241</v>
      </c>
    </row>
    <row r="561" spans="1:16" x14ac:dyDescent="0.25">
      <c r="A561" t="s">
        <v>569</v>
      </c>
      <c r="B561">
        <v>37.149000000000001</v>
      </c>
      <c r="C561">
        <v>-94.498000000000005</v>
      </c>
      <c r="D561" t="s">
        <v>1576</v>
      </c>
      <c r="E561" s="5">
        <v>1</v>
      </c>
      <c r="F561" s="7">
        <v>0</v>
      </c>
      <c r="G561">
        <v>11</v>
      </c>
      <c r="H561" s="5">
        <f t="shared" si="15"/>
        <v>47.4925</v>
      </c>
      <c r="I561">
        <v>0</v>
      </c>
      <c r="J561">
        <v>0</v>
      </c>
      <c r="K561">
        <v>0</v>
      </c>
      <c r="L561">
        <v>0</v>
      </c>
      <c r="M561">
        <v>0</v>
      </c>
      <c r="N561">
        <f>3/H561</f>
        <v>6.3167868610833289E-2</v>
      </c>
      <c r="O561">
        <v>0</v>
      </c>
      <c r="P561">
        <v>0</v>
      </c>
    </row>
    <row r="562" spans="1:16" x14ac:dyDescent="0.25">
      <c r="A562" t="s">
        <v>568</v>
      </c>
      <c r="B562">
        <v>37.225000000000001</v>
      </c>
      <c r="C562">
        <v>-89.570999999999998</v>
      </c>
      <c r="D562" t="s">
        <v>1575</v>
      </c>
      <c r="E562" s="5">
        <v>1</v>
      </c>
      <c r="F562" s="7">
        <v>1</v>
      </c>
      <c r="G562">
        <v>12.5</v>
      </c>
      <c r="H562" s="5">
        <f t="shared" si="15"/>
        <v>61.328125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x14ac:dyDescent="0.25">
      <c r="A563" t="s">
        <v>573</v>
      </c>
      <c r="B563">
        <v>37.24</v>
      </c>
      <c r="C563">
        <v>-93.39</v>
      </c>
      <c r="D563" t="s">
        <v>1728</v>
      </c>
      <c r="E563" s="5">
        <v>1</v>
      </c>
      <c r="F563" s="7">
        <v>1</v>
      </c>
      <c r="G563">
        <f>22.5/2</f>
        <v>11.25</v>
      </c>
      <c r="H563" s="5">
        <f t="shared" si="15"/>
        <v>49.675781250000007</v>
      </c>
      <c r="I563">
        <v>0</v>
      </c>
      <c r="J563">
        <v>0</v>
      </c>
      <c r="K563">
        <v>0</v>
      </c>
      <c r="L563">
        <v>0</v>
      </c>
      <c r="M563">
        <v>0</v>
      </c>
      <c r="N563" s="5">
        <v>0</v>
      </c>
      <c r="O563" s="5">
        <f>0.3/H563</f>
        <v>6.0391601792875666E-3</v>
      </c>
      <c r="P563" s="5">
        <f>0.5/H563</f>
        <v>1.0065266965479278E-2</v>
      </c>
    </row>
    <row r="564" spans="1:16" x14ac:dyDescent="0.25">
      <c r="A564" t="s">
        <v>206</v>
      </c>
      <c r="B564" s="5">
        <v>37.259</v>
      </c>
      <c r="C564" s="5">
        <v>-104.34099999999999</v>
      </c>
      <c r="D564" s="5" t="s">
        <v>1748</v>
      </c>
      <c r="E564" s="5">
        <v>1</v>
      </c>
      <c r="F564" s="7">
        <v>0</v>
      </c>
      <c r="G564">
        <f>21.5/2</f>
        <v>10.75</v>
      </c>
      <c r="H564" s="5">
        <f t="shared" si="15"/>
        <v>45.358281250000005</v>
      </c>
      <c r="I564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</row>
    <row r="565" spans="1:16" x14ac:dyDescent="0.25">
      <c r="A565" t="s">
        <v>149</v>
      </c>
      <c r="B565" s="5">
        <v>37.284999999999997</v>
      </c>
      <c r="C565" s="5">
        <v>-120.51300000000001</v>
      </c>
      <c r="D565" t="s">
        <v>1777</v>
      </c>
      <c r="E565" s="5">
        <v>1</v>
      </c>
      <c r="F565" s="7">
        <v>1</v>
      </c>
      <c r="G565">
        <f>21.7/2</f>
        <v>10.85</v>
      </c>
      <c r="H565" s="5">
        <f t="shared" si="15"/>
        <v>46.206081250000004</v>
      </c>
      <c r="I565">
        <v>0</v>
      </c>
      <c r="J565">
        <f>2.5*2/H565</f>
        <v>0.10821086456017084</v>
      </c>
      <c r="K565">
        <v>0</v>
      </c>
      <c r="L565">
        <v>0</v>
      </c>
      <c r="M565">
        <f>1/H565</f>
        <v>2.1642172912034168E-2</v>
      </c>
      <c r="N565">
        <f>2.5*3/H565</f>
        <v>0.16231629684025628</v>
      </c>
      <c r="O565">
        <f>4*8.5/2/H565</f>
        <v>0.36791693950458088</v>
      </c>
      <c r="P565">
        <f>4/H565</f>
        <v>8.6568691648136673E-2</v>
      </c>
    </row>
    <row r="566" spans="1:16" x14ac:dyDescent="0.25">
      <c r="A566" t="s">
        <v>1155</v>
      </c>
      <c r="B566" s="5">
        <v>37.295999999999999</v>
      </c>
      <c r="C566" s="5">
        <v>-81.207999999999998</v>
      </c>
      <c r="D566" s="5" t="s">
        <v>1680</v>
      </c>
      <c r="E566" s="5">
        <v>1</v>
      </c>
      <c r="F566" s="7">
        <v>0</v>
      </c>
      <c r="G566">
        <f>23.5/2</f>
        <v>11.75</v>
      </c>
      <c r="H566" s="5">
        <f t="shared" si="15"/>
        <v>54.189531250000002</v>
      </c>
      <c r="I566">
        <f>10*6/2/H566</f>
        <v>0.55361246550734833</v>
      </c>
      <c r="J566">
        <f>4/H566</f>
        <v>7.3814995400979772E-2</v>
      </c>
      <c r="K566">
        <f>6.5*8.5/2/H566</f>
        <v>0.50978481198801662</v>
      </c>
      <c r="L566">
        <f>11*8.5/2/H566</f>
        <v>0.86271275874895115</v>
      </c>
      <c r="M566">
        <f>7*4/2/H566</f>
        <v>0.25835248390342924</v>
      </c>
      <c r="N566">
        <v>0</v>
      </c>
      <c r="O566">
        <v>0</v>
      </c>
      <c r="P566">
        <f>4*5.5/2/H566</f>
        <v>0.20299123735269439</v>
      </c>
    </row>
    <row r="567" spans="1:16" x14ac:dyDescent="0.25">
      <c r="A567" t="s">
        <v>225</v>
      </c>
      <c r="B567" s="5">
        <v>37.302999999999997</v>
      </c>
      <c r="C567" s="5">
        <v>-108.628</v>
      </c>
      <c r="D567" s="5" t="s">
        <v>1771</v>
      </c>
      <c r="E567">
        <v>1</v>
      </c>
      <c r="F567" s="7">
        <v>1</v>
      </c>
      <c r="G567">
        <f>24.5/2</f>
        <v>12.25</v>
      </c>
      <c r="H567" s="5">
        <f t="shared" si="15"/>
        <v>58.899531250000003</v>
      </c>
      <c r="I567">
        <v>0</v>
      </c>
      <c r="J567">
        <v>0</v>
      </c>
      <c r="K567">
        <v>0</v>
      </c>
      <c r="L567">
        <f>2.5/H567</f>
        <v>4.2445159527479258E-2</v>
      </c>
      <c r="M567">
        <v>0</v>
      </c>
      <c r="N567">
        <f>0.8*5.5/H567</f>
        <v>7.47034807683635E-2</v>
      </c>
      <c r="O567">
        <f>4/H567</f>
        <v>6.791225524396681E-2</v>
      </c>
      <c r="P567">
        <v>0</v>
      </c>
    </row>
    <row r="568" spans="1:16" x14ac:dyDescent="0.25">
      <c r="A568" t="s">
        <v>1084</v>
      </c>
      <c r="B568" s="5">
        <v>37.317</v>
      </c>
      <c r="C568" s="5">
        <v>-79.974000000000004</v>
      </c>
      <c r="D568" s="5" t="s">
        <v>1678</v>
      </c>
      <c r="E568">
        <v>1</v>
      </c>
      <c r="F568" s="7">
        <v>1</v>
      </c>
      <c r="G568">
        <v>10</v>
      </c>
      <c r="H568" s="5">
        <f t="shared" si="15"/>
        <v>39.25</v>
      </c>
      <c r="I568">
        <v>0</v>
      </c>
      <c r="J568">
        <f>1/H568</f>
        <v>2.5477707006369428E-2</v>
      </c>
      <c r="K568">
        <f>1/H568</f>
        <v>2.5477707006369428E-2</v>
      </c>
      <c r="L568">
        <v>0</v>
      </c>
      <c r="M568">
        <f>2.5/H568</f>
        <v>6.3694267515923567E-2</v>
      </c>
      <c r="N568">
        <f>3.5*7/2/H568</f>
        <v>0.31210191082802546</v>
      </c>
      <c r="O568">
        <f>0.5/H568</f>
        <v>1.2738853503184714E-2</v>
      </c>
      <c r="P568">
        <f>1/H568</f>
        <v>2.5477707006369428E-2</v>
      </c>
    </row>
    <row r="569" spans="1:16" x14ac:dyDescent="0.25">
      <c r="A569" t="s">
        <v>1082</v>
      </c>
      <c r="B569">
        <v>37.338000000000001</v>
      </c>
      <c r="C569">
        <v>-79.206999999999994</v>
      </c>
      <c r="D569" s="5" t="s">
        <v>1675</v>
      </c>
      <c r="E569">
        <v>1</v>
      </c>
      <c r="F569" s="7">
        <v>1</v>
      </c>
      <c r="G569">
        <v>10</v>
      </c>
      <c r="H569" s="5">
        <f t="shared" si="15"/>
        <v>39.25</v>
      </c>
      <c r="I569">
        <f>7*2.5/2/H569</f>
        <v>0.22292993630573249</v>
      </c>
      <c r="J569">
        <v>0</v>
      </c>
      <c r="K569" s="5">
        <v>0</v>
      </c>
      <c r="L569" s="5">
        <v>0</v>
      </c>
      <c r="M569" s="5">
        <v>0</v>
      </c>
      <c r="N569">
        <f>4*6/2/H569</f>
        <v>0.30573248407643311</v>
      </c>
      <c r="O569">
        <f>3*5.5/2/H569</f>
        <v>0.21019108280254778</v>
      </c>
      <c r="P569">
        <f>6*4/H569</f>
        <v>0.61146496815286622</v>
      </c>
    </row>
    <row r="570" spans="1:16" x14ac:dyDescent="0.25">
      <c r="A570" t="s">
        <v>167</v>
      </c>
      <c r="B570">
        <v>37.362000000000002</v>
      </c>
      <c r="C570">
        <v>-121.928</v>
      </c>
      <c r="D570" s="5" t="s">
        <v>1801</v>
      </c>
      <c r="E570" s="5">
        <v>1</v>
      </c>
      <c r="F570" s="7">
        <v>1</v>
      </c>
      <c r="G570">
        <v>11.5</v>
      </c>
      <c r="H570" s="5">
        <f t="shared" si="15"/>
        <v>51.908124999999998</v>
      </c>
      <c r="I570">
        <v>0</v>
      </c>
      <c r="J570">
        <f>1.8/H570</f>
        <v>3.4676652258196577E-2</v>
      </c>
      <c r="K570" s="5">
        <f>0.4/H570</f>
        <v>7.705922724043684E-3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t="s">
        <v>148</v>
      </c>
      <c r="B571">
        <v>37.366999999999997</v>
      </c>
      <c r="C571">
        <v>-120.56699999999999</v>
      </c>
      <c r="D571" t="s">
        <v>1776</v>
      </c>
      <c r="E571" s="5">
        <v>1</v>
      </c>
      <c r="F571" s="7">
        <v>0</v>
      </c>
      <c r="G571">
        <f>21.4/2</f>
        <v>10.7</v>
      </c>
      <c r="H571" s="5">
        <f t="shared" si="15"/>
        <v>44.937324999999994</v>
      </c>
      <c r="I571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</row>
    <row r="572" spans="1:16" x14ac:dyDescent="0.25">
      <c r="A572" t="s">
        <v>147</v>
      </c>
      <c r="B572" s="5">
        <v>37.372999999999998</v>
      </c>
      <c r="C572" s="5">
        <v>-118.363</v>
      </c>
      <c r="D572" s="5" t="s">
        <v>1775</v>
      </c>
      <c r="E572" s="5">
        <v>1</v>
      </c>
      <c r="F572" s="7">
        <v>0</v>
      </c>
      <c r="G572">
        <f>26.3/2</f>
        <v>13.15</v>
      </c>
      <c r="H572" s="5">
        <f t="shared" si="15"/>
        <v>67.872081250000008</v>
      </c>
      <c r="I572">
        <v>0</v>
      </c>
      <c r="J572">
        <v>0</v>
      </c>
      <c r="K572">
        <v>0</v>
      </c>
      <c r="L572">
        <v>0</v>
      </c>
      <c r="M572">
        <f>8/H572</f>
        <v>0.11786878864864629</v>
      </c>
      <c r="N572">
        <f>1.5/H572</f>
        <v>2.2100397871621179E-2</v>
      </c>
      <c r="O572">
        <v>0</v>
      </c>
      <c r="P572">
        <v>0</v>
      </c>
    </row>
    <row r="573" spans="1:16" x14ac:dyDescent="0.25">
      <c r="A573" t="s">
        <v>188</v>
      </c>
      <c r="B573" s="5">
        <v>37.414999999999999</v>
      </c>
      <c r="C573" s="5">
        <v>-122.048</v>
      </c>
      <c r="D573" s="5" t="s">
        <v>2248</v>
      </c>
      <c r="E573" s="5">
        <v>1</v>
      </c>
      <c r="F573" s="7">
        <v>1</v>
      </c>
      <c r="G573">
        <f>25.5/2</f>
        <v>12.75</v>
      </c>
      <c r="H573" s="5">
        <f t="shared" si="15"/>
        <v>63.805781250000003</v>
      </c>
      <c r="I573">
        <v>0</v>
      </c>
      <c r="J573">
        <v>0</v>
      </c>
      <c r="K573">
        <v>0</v>
      </c>
      <c r="L573">
        <f>3.5/H573</f>
        <v>5.4853963566193306E-2</v>
      </c>
      <c r="M573">
        <f>11*5.5/2/H573</f>
        <v>0.47409497082209928</v>
      </c>
      <c r="N573">
        <f>8.5*2.5/2/H573</f>
        <v>0.16652096082594395</v>
      </c>
      <c r="O573">
        <f>3.3*2/H573</f>
        <v>0.10343890272482166</v>
      </c>
      <c r="P573">
        <f>2.5*4.6/H573</f>
        <v>0.18023445171749228</v>
      </c>
    </row>
    <row r="574" spans="1:16" x14ac:dyDescent="0.25">
      <c r="A574" t="s">
        <v>200</v>
      </c>
      <c r="B574">
        <v>37.436</v>
      </c>
      <c r="C574">
        <v>-105.866</v>
      </c>
      <c r="D574" t="s">
        <v>1742</v>
      </c>
      <c r="E574" s="5">
        <v>1</v>
      </c>
      <c r="F574" s="7">
        <v>0</v>
      </c>
      <c r="G574">
        <f>22.2/2</f>
        <v>11.1</v>
      </c>
      <c r="H574" s="5">
        <f t="shared" si="15"/>
        <v>48.359924999999997</v>
      </c>
      <c r="I574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</row>
    <row r="575" spans="1:16" x14ac:dyDescent="0.25">
      <c r="A575" t="s">
        <v>136</v>
      </c>
      <c r="B575">
        <v>37.457000000000001</v>
      </c>
      <c r="C575">
        <v>-118.83799999999999</v>
      </c>
      <c r="D575" t="s">
        <v>1632</v>
      </c>
      <c r="E575" s="5">
        <v>1</v>
      </c>
      <c r="F575" s="7">
        <v>0</v>
      </c>
      <c r="G575">
        <f>21.2/2</f>
        <v>10.6</v>
      </c>
      <c r="H575" s="5">
        <f t="shared" ref="H575:H638" si="16">3.14*G575*G575/8</f>
        <v>44.101299999999995</v>
      </c>
      <c r="I575">
        <v>0</v>
      </c>
      <c r="J575">
        <v>0</v>
      </c>
      <c r="K575">
        <f>3.5/H575</f>
        <v>7.9362739873881274E-2</v>
      </c>
      <c r="L575">
        <v>0</v>
      </c>
      <c r="M575">
        <v>0</v>
      </c>
      <c r="N575">
        <v>0</v>
      </c>
      <c r="O575">
        <v>0</v>
      </c>
      <c r="P575">
        <f>2/H575</f>
        <v>4.5350137070789304E-2</v>
      </c>
    </row>
    <row r="576" spans="1:16" x14ac:dyDescent="0.25">
      <c r="A576" t="s">
        <v>1074</v>
      </c>
      <c r="B576">
        <v>37.511000000000003</v>
      </c>
      <c r="C576">
        <v>-77.322999999999993</v>
      </c>
      <c r="D576" t="s">
        <v>1644</v>
      </c>
      <c r="E576" s="5">
        <v>1</v>
      </c>
      <c r="F576" s="7">
        <v>1</v>
      </c>
      <c r="G576">
        <f>22.5/2</f>
        <v>11.25</v>
      </c>
      <c r="H576" s="5">
        <f t="shared" si="16"/>
        <v>49.675781250000007</v>
      </c>
      <c r="I576">
        <v>0</v>
      </c>
      <c r="J576">
        <v>0</v>
      </c>
      <c r="K576">
        <v>0</v>
      </c>
      <c r="L576">
        <v>0</v>
      </c>
      <c r="M576">
        <f>1/H576</f>
        <v>2.0130533930958556E-2</v>
      </c>
      <c r="N576">
        <v>0</v>
      </c>
      <c r="O576">
        <v>0</v>
      </c>
      <c r="P576">
        <v>0</v>
      </c>
    </row>
    <row r="577" spans="1:16" x14ac:dyDescent="0.25">
      <c r="A577" t="s">
        <v>747</v>
      </c>
      <c r="B577">
        <v>37.612000000000002</v>
      </c>
      <c r="C577">
        <v>-114.526</v>
      </c>
      <c r="D577" t="s">
        <v>1789</v>
      </c>
      <c r="E577" s="5">
        <v>1</v>
      </c>
      <c r="F577" s="7">
        <v>0</v>
      </c>
      <c r="G577">
        <f>23.3/2</f>
        <v>11.65</v>
      </c>
      <c r="H577" s="5">
        <f t="shared" si="16"/>
        <v>53.271081250000009</v>
      </c>
      <c r="I577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</row>
    <row r="578" spans="1:16" x14ac:dyDescent="0.25">
      <c r="A578" t="s">
        <v>738</v>
      </c>
      <c r="B578">
        <v>37.616999999999997</v>
      </c>
      <c r="C578">
        <v>-116.264</v>
      </c>
      <c r="D578" t="s">
        <v>1455</v>
      </c>
      <c r="E578" s="5">
        <v>1</v>
      </c>
      <c r="F578" s="7">
        <v>1</v>
      </c>
      <c r="G578">
        <f>23/2</f>
        <v>11.5</v>
      </c>
      <c r="H578" s="5">
        <f t="shared" si="16"/>
        <v>51.908124999999998</v>
      </c>
      <c r="I578">
        <v>0</v>
      </c>
      <c r="J578">
        <v>0</v>
      </c>
      <c r="K578">
        <v>0</v>
      </c>
      <c r="L578">
        <v>0</v>
      </c>
      <c r="M578">
        <f>0.4/H578</f>
        <v>7.705922724043684E-3</v>
      </c>
      <c r="N578">
        <v>0</v>
      </c>
      <c r="O578">
        <v>0</v>
      </c>
      <c r="P578">
        <v>0</v>
      </c>
    </row>
    <row r="579" spans="1:16" x14ac:dyDescent="0.25">
      <c r="A579" t="s">
        <v>166</v>
      </c>
      <c r="B579" s="5">
        <v>37.619999999999997</v>
      </c>
      <c r="C579" s="5">
        <v>-122.398</v>
      </c>
      <c r="D579" s="5" t="s">
        <v>1800</v>
      </c>
      <c r="E579" s="5">
        <v>1</v>
      </c>
      <c r="F579" s="7">
        <v>1</v>
      </c>
      <c r="G579">
        <f>13/2</f>
        <v>6.5</v>
      </c>
      <c r="H579" s="5">
        <f t="shared" si="16"/>
        <v>16.583124999999999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x14ac:dyDescent="0.25">
      <c r="A580" t="s">
        <v>161</v>
      </c>
      <c r="B580" s="5">
        <v>37.625999999999998</v>
      </c>
      <c r="C580" s="5">
        <v>-120.953</v>
      </c>
      <c r="D580" s="5" t="s">
        <v>1795</v>
      </c>
      <c r="E580" s="5">
        <v>1</v>
      </c>
      <c r="F580" s="7">
        <v>1</v>
      </c>
      <c r="G580">
        <f>10.2</f>
        <v>10.199999999999999</v>
      </c>
      <c r="H580" s="5">
        <f t="shared" si="16"/>
        <v>40.835699999999996</v>
      </c>
      <c r="I580">
        <f>5/H580</f>
        <v>0.12244188296025293</v>
      </c>
      <c r="J580">
        <f>5/H580</f>
        <v>0.12244188296025293</v>
      </c>
      <c r="K580">
        <f>1.7/H580</f>
        <v>4.1630240206485994E-2</v>
      </c>
      <c r="L580">
        <f>7*4/2/H580</f>
        <v>0.34283727228870819</v>
      </c>
      <c r="M580">
        <f>(H580-5*5.5/2)/H580</f>
        <v>0.66328482185930449</v>
      </c>
      <c r="N580">
        <f>10.5*8/2/H580</f>
        <v>1.0285118168661247</v>
      </c>
      <c r="O580">
        <f>0.4/H580</f>
        <v>9.795350636820235E-3</v>
      </c>
      <c r="P580">
        <v>0</v>
      </c>
    </row>
    <row r="581" spans="1:16" x14ac:dyDescent="0.25">
      <c r="A581" t="s">
        <v>164</v>
      </c>
      <c r="B581" s="5">
        <v>37.658999999999999</v>
      </c>
      <c r="C581" s="5">
        <v>-122.121</v>
      </c>
      <c r="D581" s="5" t="s">
        <v>1798</v>
      </c>
      <c r="E581" s="5">
        <v>1</v>
      </c>
      <c r="F581" s="7">
        <v>1</v>
      </c>
      <c r="G581">
        <f>22.3/2</f>
        <v>11.15</v>
      </c>
      <c r="H581" s="5">
        <f t="shared" si="16"/>
        <v>48.796581250000003</v>
      </c>
      <c r="I581">
        <f>1.5*2/H581</f>
        <v>6.1479716880780452E-2</v>
      </c>
      <c r="J581">
        <f>2*2.5/H581</f>
        <v>0.10246619480130076</v>
      </c>
      <c r="K581">
        <f>2.5*1.8/H581</f>
        <v>9.2219575321170671E-2</v>
      </c>
      <c r="L581">
        <v>0</v>
      </c>
      <c r="M581">
        <v>0</v>
      </c>
      <c r="N581">
        <f>3*7.5/2/H581</f>
        <v>0.23054893830292669</v>
      </c>
      <c r="O581">
        <f>4/H581</f>
        <v>8.1972955841040598E-2</v>
      </c>
      <c r="P581">
        <v>0</v>
      </c>
    </row>
    <row r="582" spans="1:16" x14ac:dyDescent="0.25">
      <c r="A582" t="s">
        <v>162</v>
      </c>
      <c r="B582" s="5">
        <v>37.694000000000003</v>
      </c>
      <c r="C582" s="5">
        <v>-121.81699999999999</v>
      </c>
      <c r="D582" s="5" t="s">
        <v>1796</v>
      </c>
      <c r="E582" s="5">
        <v>1</v>
      </c>
      <c r="F582" s="7">
        <v>1</v>
      </c>
      <c r="G582">
        <v>12.1</v>
      </c>
      <c r="H582" s="5">
        <f t="shared" si="16"/>
        <v>57.465924999999999</v>
      </c>
      <c r="I582">
        <f>6.5*3.5/2/H582</f>
        <v>0.19794338993064151</v>
      </c>
      <c r="J582" s="5">
        <f>2*1.5/H582</f>
        <v>5.2204850091597761E-2</v>
      </c>
      <c r="K582" s="5">
        <v>0</v>
      </c>
      <c r="L582" s="5">
        <f>2.5*5/H582</f>
        <v>0.21752020871499067</v>
      </c>
      <c r="M582" s="5">
        <f>2.3*5.5/H582</f>
        <v>0.22013045121957053</v>
      </c>
      <c r="N582">
        <f>0.8/H582</f>
        <v>1.3921293357759403E-2</v>
      </c>
      <c r="O582">
        <v>0</v>
      </c>
      <c r="P582">
        <v>0</v>
      </c>
    </row>
    <row r="583" spans="1:16" x14ac:dyDescent="0.25">
      <c r="A583" t="s">
        <v>1052</v>
      </c>
      <c r="B583">
        <v>37.701999999999998</v>
      </c>
      <c r="C583">
        <v>-113.09699999999999</v>
      </c>
      <c r="D583" t="s">
        <v>1766</v>
      </c>
      <c r="E583" s="5">
        <v>1</v>
      </c>
      <c r="F583" s="7">
        <v>0</v>
      </c>
      <c r="G583">
        <v>10.5</v>
      </c>
      <c r="H583" s="5">
        <f t="shared" si="16"/>
        <v>43.273125</v>
      </c>
      <c r="I583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</row>
    <row r="584" spans="1:16" x14ac:dyDescent="0.25">
      <c r="A584" t="s">
        <v>1053</v>
      </c>
      <c r="B584">
        <v>37.706000000000003</v>
      </c>
      <c r="C584">
        <v>-112.146</v>
      </c>
      <c r="D584" t="s">
        <v>1767</v>
      </c>
      <c r="E584" s="5">
        <v>1</v>
      </c>
      <c r="F584" s="7">
        <v>0</v>
      </c>
      <c r="G584">
        <f>21.5/2</f>
        <v>10.75</v>
      </c>
      <c r="H584" s="5">
        <f t="shared" si="16"/>
        <v>45.358281250000005</v>
      </c>
      <c r="I584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</row>
    <row r="585" spans="1:16" x14ac:dyDescent="0.25">
      <c r="A585" t="s">
        <v>1070</v>
      </c>
      <c r="B585">
        <v>37.716999999999999</v>
      </c>
      <c r="C585">
        <v>-77.433000000000007</v>
      </c>
      <c r="D585" t="s">
        <v>1502</v>
      </c>
      <c r="E585" s="5">
        <v>1</v>
      </c>
      <c r="F585" s="7">
        <v>1</v>
      </c>
      <c r="G585">
        <f>19.5/2</f>
        <v>9.75</v>
      </c>
      <c r="H585" s="5">
        <f t="shared" si="16"/>
        <v>37.312031250000004</v>
      </c>
      <c r="I585">
        <f>(H585-2.5*3/2)/H585</f>
        <v>0.89949622482694502</v>
      </c>
      <c r="J585">
        <f>(H585-3.5*4/2)/H585</f>
        <v>0.81239295301029746</v>
      </c>
      <c r="K585">
        <f>(H585-4*5/2)/H585</f>
        <v>0.73198993287185354</v>
      </c>
      <c r="L585">
        <f>8*6/2/H585</f>
        <v>0.64322416110755154</v>
      </c>
      <c r="M585">
        <f>1.2/H585</f>
        <v>3.2161208055377574E-2</v>
      </c>
      <c r="N585">
        <f>3*1.5/H585</f>
        <v>0.12060453020766591</v>
      </c>
      <c r="O585">
        <f>2*1.5/H585</f>
        <v>8.0403020138443942E-2</v>
      </c>
      <c r="P585">
        <f>6.5*2/H585</f>
        <v>0.34841308726659043</v>
      </c>
    </row>
    <row r="586" spans="1:16" x14ac:dyDescent="0.25">
      <c r="A586" t="s">
        <v>428</v>
      </c>
      <c r="B586" s="5">
        <v>37.74</v>
      </c>
      <c r="C586" s="5">
        <v>-87.167000000000002</v>
      </c>
      <c r="D586" s="5" t="s">
        <v>1692</v>
      </c>
      <c r="E586">
        <v>1</v>
      </c>
      <c r="F586" s="7">
        <v>1</v>
      </c>
      <c r="G586">
        <v>11</v>
      </c>
      <c r="H586" s="5">
        <f t="shared" si="16"/>
        <v>47.4925</v>
      </c>
      <c r="I586">
        <f>3*3.5/2/H586</f>
        <v>0.11054377006895826</v>
      </c>
      <c r="J586">
        <f>2.5*4.5/2/H586</f>
        <v>0.11843975364531242</v>
      </c>
      <c r="K586">
        <f>3.2/H586</f>
        <v>6.7379059851555512E-2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t="s">
        <v>578</v>
      </c>
      <c r="B587">
        <v>37.741999999999997</v>
      </c>
      <c r="C587">
        <v>-92.141000000000005</v>
      </c>
      <c r="D587" t="s">
        <v>1733</v>
      </c>
      <c r="E587" s="5">
        <v>1</v>
      </c>
      <c r="F587" s="7">
        <v>0</v>
      </c>
      <c r="G587">
        <f>20.5/2</f>
        <v>10.25</v>
      </c>
      <c r="H587" s="5">
        <f t="shared" si="16"/>
        <v>41.237031250000001</v>
      </c>
      <c r="I587">
        <f>6.5*3/2/H587</f>
        <v>0.2364379710287704</v>
      </c>
      <c r="J587">
        <f>6.5*3/2/H587</f>
        <v>0.2364379710287704</v>
      </c>
      <c r="K587">
        <f>1/H587</f>
        <v>2.4250048310643119E-2</v>
      </c>
      <c r="L587">
        <v>0</v>
      </c>
      <c r="M587">
        <v>0</v>
      </c>
      <c r="N587">
        <v>0</v>
      </c>
      <c r="O587">
        <f>2.5/H587</f>
        <v>6.0625120776607797E-2</v>
      </c>
      <c r="P587">
        <f>2.5/H587</f>
        <v>6.0625120776607797E-2</v>
      </c>
    </row>
    <row r="588" spans="1:16" x14ac:dyDescent="0.25">
      <c r="A588" t="s">
        <v>163</v>
      </c>
      <c r="B588">
        <v>37.755000000000003</v>
      </c>
      <c r="C588">
        <v>-122.221</v>
      </c>
      <c r="D588" t="s">
        <v>1797</v>
      </c>
      <c r="E588" s="5">
        <v>1</v>
      </c>
      <c r="F588" s="7">
        <v>1</v>
      </c>
      <c r="G588">
        <f>21.8/2</f>
        <v>10.9</v>
      </c>
      <c r="H588" s="5">
        <f t="shared" si="16"/>
        <v>46.632925</v>
      </c>
      <c r="I588">
        <f>5/H588</f>
        <v>0.10722038130784205</v>
      </c>
      <c r="J588">
        <v>0</v>
      </c>
      <c r="K588">
        <v>0</v>
      </c>
      <c r="L588">
        <f>4/H588</f>
        <v>8.5776305046273635E-2</v>
      </c>
      <c r="M588">
        <v>0</v>
      </c>
      <c r="N588">
        <v>0</v>
      </c>
      <c r="O588">
        <v>0</v>
      </c>
      <c r="P588">
        <f>4.6*6.5/2/H588</f>
        <v>0.3205889401104477</v>
      </c>
    </row>
    <row r="589" spans="1:16" x14ac:dyDescent="0.25">
      <c r="A589" t="s">
        <v>382</v>
      </c>
      <c r="B589" s="5">
        <v>37.78</v>
      </c>
      <c r="C589" s="5">
        <v>-89.25</v>
      </c>
      <c r="D589" s="5" t="s">
        <v>1710</v>
      </c>
      <c r="E589" s="5">
        <v>1</v>
      </c>
      <c r="F589" s="7">
        <v>1</v>
      </c>
      <c r="G589">
        <f>21.5/2</f>
        <v>10.75</v>
      </c>
      <c r="H589" s="5">
        <f t="shared" si="16"/>
        <v>45.358281250000005</v>
      </c>
      <c r="I589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>
        <v>0</v>
      </c>
      <c r="P589">
        <v>0</v>
      </c>
    </row>
    <row r="590" spans="1:16" x14ac:dyDescent="0.25">
      <c r="A590" t="s">
        <v>1154</v>
      </c>
      <c r="B590" s="5">
        <v>37.795000000000002</v>
      </c>
      <c r="C590" s="5">
        <v>-81.125</v>
      </c>
      <c r="D590" s="5" t="s">
        <v>1679</v>
      </c>
      <c r="E590" s="5">
        <v>1</v>
      </c>
      <c r="F590" s="7">
        <v>1</v>
      </c>
      <c r="G590">
        <f>20.4/2</f>
        <v>10.199999999999999</v>
      </c>
      <c r="H590" s="5">
        <f t="shared" si="16"/>
        <v>40.835699999999996</v>
      </c>
      <c r="I590">
        <f>3.5*5.5/2/H590</f>
        <v>0.23570062469848688</v>
      </c>
      <c r="J590">
        <f>7.5*4.5/2/H590</f>
        <v>0.41324135499085363</v>
      </c>
      <c r="K590">
        <f>5*2.5/2/H590</f>
        <v>0.15305235370031617</v>
      </c>
      <c r="L590">
        <f>4.5*3/2/H590</f>
        <v>0.16529654199634145</v>
      </c>
      <c r="M590">
        <f>6*1.5/2/H590</f>
        <v>0.11019769466422763</v>
      </c>
      <c r="N590">
        <v>0</v>
      </c>
      <c r="O590">
        <f>1.5*1.5/H590</f>
        <v>5.5098847332113815E-2</v>
      </c>
      <c r="P590">
        <v>0</v>
      </c>
    </row>
    <row r="591" spans="1:16" x14ac:dyDescent="0.25">
      <c r="A591" t="s">
        <v>743</v>
      </c>
      <c r="B591">
        <v>37.799999999999997</v>
      </c>
      <c r="C591">
        <v>-116.783</v>
      </c>
      <c r="D591" t="s">
        <v>1785</v>
      </c>
      <c r="E591" s="5">
        <v>1</v>
      </c>
      <c r="F591" s="7">
        <v>0</v>
      </c>
      <c r="G591">
        <v>12.5</v>
      </c>
      <c r="H591" s="5">
        <f t="shared" si="16"/>
        <v>61.328125</v>
      </c>
      <c r="I591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</row>
    <row r="592" spans="1:16" x14ac:dyDescent="0.25">
      <c r="A592" t="s">
        <v>1156</v>
      </c>
      <c r="B592" s="5">
        <v>37.857999999999997</v>
      </c>
      <c r="C592" s="5">
        <v>-80.399000000000001</v>
      </c>
      <c r="D592" s="5" t="s">
        <v>1681</v>
      </c>
      <c r="E592" s="5">
        <v>1</v>
      </c>
      <c r="F592" s="7">
        <v>1</v>
      </c>
      <c r="G592">
        <f>23.5/2</f>
        <v>11.75</v>
      </c>
      <c r="H592" s="5">
        <f t="shared" si="16"/>
        <v>54.189531250000002</v>
      </c>
      <c r="I592">
        <f>1.5*2.5/H592</f>
        <v>6.9201558188418541E-2</v>
      </c>
      <c r="J592" s="5">
        <v>0</v>
      </c>
      <c r="K592" s="5">
        <f>(H592-10*4/2)/H592</f>
        <v>0.63092502299510111</v>
      </c>
      <c r="L592" s="5">
        <f>(H592-5*6/2)/H592</f>
        <v>0.72319376724632589</v>
      </c>
      <c r="M592" s="5">
        <f>8.5*5.5/2/H592</f>
        <v>0.43135637937447557</v>
      </c>
      <c r="N592" s="5">
        <v>0</v>
      </c>
      <c r="O592" s="5">
        <f>3.5*3.5/H592</f>
        <v>0.22605842341550056</v>
      </c>
      <c r="P592" s="5">
        <f>3*2.5/H592</f>
        <v>0.13840311637683708</v>
      </c>
    </row>
    <row r="593" spans="1:16" x14ac:dyDescent="0.25">
      <c r="A593" t="s">
        <v>160</v>
      </c>
      <c r="B593" s="5">
        <v>37.893999999999998</v>
      </c>
      <c r="C593" s="5">
        <v>-121.23699999999999</v>
      </c>
      <c r="D593" s="5" t="s">
        <v>1794</v>
      </c>
      <c r="E593">
        <v>1</v>
      </c>
      <c r="F593" s="7">
        <v>1</v>
      </c>
      <c r="G593">
        <f>22.5/2</f>
        <v>11.25</v>
      </c>
      <c r="H593" s="5">
        <f t="shared" si="16"/>
        <v>49.675781250000007</v>
      </c>
      <c r="I593">
        <v>0</v>
      </c>
      <c r="J593">
        <f>0.3/H593</f>
        <v>6.0391601792875666E-3</v>
      </c>
      <c r="K593">
        <f>3/H593</f>
        <v>6.0391601792875671E-2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x14ac:dyDescent="0.25">
      <c r="A594" t="s">
        <v>429</v>
      </c>
      <c r="B594" s="5">
        <v>37.906999999999996</v>
      </c>
      <c r="C594" s="5">
        <v>-85.971999999999994</v>
      </c>
      <c r="D594" s="5" t="s">
        <v>1693</v>
      </c>
      <c r="E594">
        <v>1</v>
      </c>
      <c r="F594" s="7">
        <v>0</v>
      </c>
      <c r="G594">
        <v>11</v>
      </c>
      <c r="H594" s="5">
        <f t="shared" si="16"/>
        <v>47.4925</v>
      </c>
      <c r="I594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</row>
    <row r="595" spans="1:16" x14ac:dyDescent="0.25">
      <c r="A595" t="s">
        <v>1078</v>
      </c>
      <c r="B595" s="1">
        <v>37.941000000000003</v>
      </c>
      <c r="C595" s="1">
        <v>-75.495999999999995</v>
      </c>
      <c r="D595" s="1" t="s">
        <v>1648</v>
      </c>
      <c r="E595">
        <v>1</v>
      </c>
      <c r="F595" s="7">
        <v>1</v>
      </c>
      <c r="G595" s="5">
        <f>23.3/2</f>
        <v>11.65</v>
      </c>
      <c r="H595" s="5">
        <f t="shared" si="16"/>
        <v>53.271081250000009</v>
      </c>
      <c r="I595" s="5">
        <f>2/H595</f>
        <v>3.7543822146467128E-2</v>
      </c>
      <c r="J595" s="5">
        <v>0</v>
      </c>
      <c r="K595" s="5">
        <v>0</v>
      </c>
      <c r="L595" s="5">
        <v>0</v>
      </c>
      <c r="M595" s="5">
        <v>0</v>
      </c>
      <c r="N595" s="5">
        <f>2.5/H595</f>
        <v>4.6929777683083908E-2</v>
      </c>
      <c r="O595" s="5">
        <f>3.5*7.5/2/H595</f>
        <v>0.24638133283619051</v>
      </c>
      <c r="P595" s="5">
        <f>0.7/H595</f>
        <v>1.3140337751263493E-2</v>
      </c>
    </row>
    <row r="596" spans="1:16" x14ac:dyDescent="0.25">
      <c r="A596" t="s">
        <v>1077</v>
      </c>
      <c r="B596" s="1">
        <v>37.941000000000003</v>
      </c>
      <c r="C596" s="1">
        <v>-75.495999999999995</v>
      </c>
      <c r="D596" s="1" t="s">
        <v>1647</v>
      </c>
      <c r="E596">
        <v>1</v>
      </c>
      <c r="F596" s="7">
        <v>1</v>
      </c>
      <c r="G596">
        <f>23.3/2</f>
        <v>11.65</v>
      </c>
      <c r="H596" s="5">
        <f t="shared" si="16"/>
        <v>53.271081250000009</v>
      </c>
      <c r="I596">
        <f>2/H596</f>
        <v>3.7543822146467128E-2</v>
      </c>
      <c r="J596">
        <v>0</v>
      </c>
      <c r="K596" s="5">
        <v>0</v>
      </c>
      <c r="L596" s="5">
        <v>0</v>
      </c>
      <c r="M596" s="5">
        <v>0</v>
      </c>
      <c r="N596" s="5">
        <f>2.5/H596</f>
        <v>4.6929777683083908E-2</v>
      </c>
      <c r="O596" s="5">
        <f>3.5*7.5/2/H596</f>
        <v>0.24638133283619051</v>
      </c>
      <c r="P596">
        <f>0.7/H596</f>
        <v>1.3140337751263493E-2</v>
      </c>
    </row>
    <row r="597" spans="1:16" x14ac:dyDescent="0.25">
      <c r="A597" t="s">
        <v>202</v>
      </c>
      <c r="B597">
        <v>37.954000000000001</v>
      </c>
      <c r="C597">
        <v>-107.901</v>
      </c>
      <c r="D597" t="s">
        <v>1744</v>
      </c>
      <c r="E597" s="5">
        <v>1</v>
      </c>
      <c r="F597" s="7">
        <v>0</v>
      </c>
      <c r="G597">
        <v>11</v>
      </c>
      <c r="H597" s="5">
        <f t="shared" si="16"/>
        <v>47.4925</v>
      </c>
      <c r="I597">
        <f>1.3/H597</f>
        <v>2.7372743064694425E-2</v>
      </c>
      <c r="J597">
        <f>2.5*2.5/2/H597</f>
        <v>6.5799863136284678E-2</v>
      </c>
      <c r="K597">
        <f>0.5/H597</f>
        <v>1.0527978101805549E-2</v>
      </c>
      <c r="L597">
        <f>1.3/H597</f>
        <v>2.7372743064694425E-2</v>
      </c>
      <c r="M597">
        <f>3.5/H597</f>
        <v>7.3695846712638832E-2</v>
      </c>
      <c r="N597">
        <f>3/H597</f>
        <v>6.3167868610833289E-2</v>
      </c>
      <c r="O597">
        <v>0</v>
      </c>
      <c r="P597">
        <f>4/H597</f>
        <v>8.422382481444439E-2</v>
      </c>
    </row>
    <row r="598" spans="1:16" x14ac:dyDescent="0.25">
      <c r="A598" t="s">
        <v>165</v>
      </c>
      <c r="B598">
        <v>37.991999999999997</v>
      </c>
      <c r="C598">
        <v>-122.05200000000001</v>
      </c>
      <c r="D598" t="s">
        <v>1799</v>
      </c>
      <c r="E598" s="5">
        <v>1</v>
      </c>
      <c r="F598" s="7">
        <v>1</v>
      </c>
      <c r="G598">
        <f>21.4/2</f>
        <v>10.7</v>
      </c>
      <c r="H598" s="5">
        <f t="shared" si="16"/>
        <v>44.937324999999994</v>
      </c>
      <c r="I598">
        <f>2.5*5/2/H598</f>
        <v>0.13908260004350506</v>
      </c>
      <c r="J598">
        <f>(H598-4.5*5.5/2)/H598</f>
        <v>0.72461645191386004</v>
      </c>
      <c r="K598">
        <f>(H598-4*7/2)/H598</f>
        <v>0.68845497590254867</v>
      </c>
      <c r="L598">
        <f>3.2*4.2/2/H598</f>
        <v>0.14954161156677664</v>
      </c>
      <c r="M598">
        <f>0.7/H598</f>
        <v>1.5577251204872565E-2</v>
      </c>
      <c r="N598" s="5">
        <v>0</v>
      </c>
      <c r="O598" s="5">
        <v>0</v>
      </c>
      <c r="P598" s="5">
        <v>0</v>
      </c>
    </row>
    <row r="599" spans="1:16" x14ac:dyDescent="0.25">
      <c r="A599" t="s">
        <v>424</v>
      </c>
      <c r="B599" s="5">
        <v>38.040999999999997</v>
      </c>
      <c r="C599" s="5">
        <v>-84.605999999999995</v>
      </c>
      <c r="D599" s="5" t="s">
        <v>1688</v>
      </c>
      <c r="E599" s="5">
        <v>1</v>
      </c>
      <c r="F599" s="7">
        <v>1</v>
      </c>
      <c r="G599">
        <f>23.5/2</f>
        <v>11.75</v>
      </c>
      <c r="H599" s="5">
        <f t="shared" si="16"/>
        <v>54.189531250000002</v>
      </c>
      <c r="I599">
        <v>0</v>
      </c>
      <c r="J599">
        <v>0</v>
      </c>
      <c r="K599">
        <f>1.4/H599</f>
        <v>2.5835248390342919E-2</v>
      </c>
      <c r="L599">
        <f>7/H599</f>
        <v>0.12917624195171462</v>
      </c>
      <c r="M599">
        <f>2/H599</f>
        <v>3.6907497700489886E-2</v>
      </c>
      <c r="N599">
        <v>0</v>
      </c>
      <c r="O599">
        <f>2/H599</f>
        <v>3.6907497700489886E-2</v>
      </c>
      <c r="P599">
        <f>2.5/H599</f>
        <v>4.6134372125612361E-2</v>
      </c>
    </row>
    <row r="600" spans="1:16" x14ac:dyDescent="0.25">
      <c r="A600" t="s">
        <v>405</v>
      </c>
      <c r="B600" s="5">
        <v>38.042999999999999</v>
      </c>
      <c r="C600" s="5">
        <v>-87.537000000000006</v>
      </c>
      <c r="D600" t="s">
        <v>1709</v>
      </c>
      <c r="E600" s="5">
        <v>1</v>
      </c>
      <c r="F600" s="7">
        <v>1</v>
      </c>
      <c r="G600">
        <v>10.5</v>
      </c>
      <c r="H600" s="5">
        <f t="shared" si="16"/>
        <v>43.273125</v>
      </c>
      <c r="I600">
        <f>0.3/H600</f>
        <v>6.9327093894882789E-3</v>
      </c>
      <c r="J600">
        <v>0</v>
      </c>
      <c r="K600">
        <f>2.5*1.5/H600</f>
        <v>8.6658867368603495E-2</v>
      </c>
      <c r="L600">
        <f>2/H600</f>
        <v>4.6218062596588526E-2</v>
      </c>
      <c r="M600">
        <f>2.5/H600</f>
        <v>5.7772578245735659E-2</v>
      </c>
      <c r="N600">
        <v>0</v>
      </c>
      <c r="O600">
        <v>0</v>
      </c>
      <c r="P600">
        <f>0.4/H600</f>
        <v>9.2436125193177069E-3</v>
      </c>
    </row>
    <row r="601" spans="1:16" x14ac:dyDescent="0.25">
      <c r="A601" t="s">
        <v>203</v>
      </c>
      <c r="B601">
        <v>38.051000000000002</v>
      </c>
      <c r="C601">
        <v>-103.527</v>
      </c>
      <c r="D601" t="s">
        <v>1745</v>
      </c>
      <c r="E601" s="5">
        <v>1</v>
      </c>
      <c r="F601" s="7">
        <v>0</v>
      </c>
      <c r="G601">
        <v>11.1</v>
      </c>
      <c r="H601" s="5">
        <f t="shared" si="16"/>
        <v>48.359924999999997</v>
      </c>
      <c r="I601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</row>
    <row r="602" spans="1:16" x14ac:dyDescent="0.25">
      <c r="A602" t="s">
        <v>745</v>
      </c>
      <c r="B602">
        <v>38.06</v>
      </c>
      <c r="C602">
        <v>-117.087</v>
      </c>
      <c r="D602" t="s">
        <v>1787</v>
      </c>
      <c r="E602" s="5">
        <v>1</v>
      </c>
      <c r="F602" s="7">
        <v>0</v>
      </c>
      <c r="G602">
        <f>19.5/2</f>
        <v>9.75</v>
      </c>
      <c r="H602" s="5">
        <f t="shared" si="16"/>
        <v>37.312031250000004</v>
      </c>
      <c r="I602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</row>
    <row r="603" spans="1:16" x14ac:dyDescent="0.25">
      <c r="A603" t="s">
        <v>204</v>
      </c>
      <c r="B603">
        <v>38.07</v>
      </c>
      <c r="C603">
        <v>-102.688</v>
      </c>
      <c r="D603" t="s">
        <v>1746</v>
      </c>
      <c r="E603" s="5">
        <v>1</v>
      </c>
      <c r="F603" s="7">
        <v>1</v>
      </c>
      <c r="G603">
        <f>21.5/2</f>
        <v>10.75</v>
      </c>
      <c r="H603" s="5">
        <f t="shared" si="16"/>
        <v>45.358281250000005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t="s">
        <v>577</v>
      </c>
      <c r="B604" s="5">
        <v>38.128</v>
      </c>
      <c r="C604" s="5">
        <v>-91.769000000000005</v>
      </c>
      <c r="D604" s="5" t="s">
        <v>1732</v>
      </c>
      <c r="E604" s="5">
        <v>1</v>
      </c>
      <c r="F604" s="7">
        <v>1</v>
      </c>
      <c r="G604">
        <v>12</v>
      </c>
      <c r="H604" s="5">
        <f t="shared" si="16"/>
        <v>56.519999999999996</v>
      </c>
      <c r="I604">
        <f>2*5.5/2/H604</f>
        <v>9.7310686482661016E-2</v>
      </c>
      <c r="J604">
        <v>0</v>
      </c>
      <c r="K604">
        <f>2/H604</f>
        <v>3.5385704175513094E-2</v>
      </c>
      <c r="L604">
        <v>0</v>
      </c>
      <c r="M604">
        <v>0</v>
      </c>
      <c r="N604">
        <v>0</v>
      </c>
      <c r="O604">
        <v>0</v>
      </c>
      <c r="P604">
        <f>3.5/H604</f>
        <v>6.1924982307147915E-2</v>
      </c>
    </row>
    <row r="605" spans="1:16" x14ac:dyDescent="0.25">
      <c r="A605" t="s">
        <v>1075</v>
      </c>
      <c r="B605" s="5">
        <v>38.139000000000003</v>
      </c>
      <c r="C605" s="5">
        <v>-78.453000000000003</v>
      </c>
      <c r="D605" s="5" t="s">
        <v>1645</v>
      </c>
      <c r="E605" s="5">
        <v>1</v>
      </c>
      <c r="F605" s="7">
        <v>1</v>
      </c>
      <c r="G605">
        <f>25.5/2</f>
        <v>12.75</v>
      </c>
      <c r="H605" s="5">
        <f t="shared" si="16"/>
        <v>63.805781250000003</v>
      </c>
      <c r="I605">
        <f>10*9/2/H605</f>
        <v>0.70526524585105677</v>
      </c>
      <c r="J605">
        <f>3*3.5/2/H605</f>
        <v>8.2280945349289952E-2</v>
      </c>
      <c r="K605">
        <f>2.5/H605</f>
        <v>3.9181402547280933E-2</v>
      </c>
      <c r="L605">
        <f>3/H605</f>
        <v>4.701768305673712E-2</v>
      </c>
      <c r="M605">
        <f>1.5/H605</f>
        <v>2.350884152836856E-2</v>
      </c>
      <c r="N605">
        <f>(H605-5*6.5/2)/H605</f>
        <v>0.745320883442674</v>
      </c>
      <c r="O605">
        <f>(H605-7*4/2)/H605</f>
        <v>0.78058414573522683</v>
      </c>
      <c r="P605">
        <f>(H605-3.5*4/2)/H605</f>
        <v>0.89029207286761336</v>
      </c>
    </row>
    <row r="606" spans="1:16" x14ac:dyDescent="0.25">
      <c r="A606" t="s">
        <v>489</v>
      </c>
      <c r="B606">
        <v>38.142000000000003</v>
      </c>
      <c r="C606">
        <v>-76.429000000000002</v>
      </c>
      <c r="D606" t="s">
        <v>1950</v>
      </c>
      <c r="E606" s="5">
        <v>1</v>
      </c>
      <c r="F606" s="7">
        <v>1</v>
      </c>
      <c r="G606">
        <f>23.5/2</f>
        <v>11.75</v>
      </c>
      <c r="H606" s="5">
        <f t="shared" si="16"/>
        <v>54.189531250000002</v>
      </c>
      <c r="I606">
        <f>7*6/2/H606</f>
        <v>0.38752872585514381</v>
      </c>
      <c r="J606">
        <f>3.6*4.2/2/H606</f>
        <v>0.13951034130785178</v>
      </c>
      <c r="K606">
        <v>0</v>
      </c>
      <c r="L606">
        <f>8.7*4.2/2/H606</f>
        <v>0.33714999149397512</v>
      </c>
      <c r="M606">
        <f>6.3*4.3/2/H606</f>
        <v>0.24995602817656776</v>
      </c>
      <c r="N606">
        <v>0</v>
      </c>
      <c r="O606">
        <f>2.4*6.2/2/H606</f>
        <v>0.13729589144582238</v>
      </c>
      <c r="P606">
        <f>2.7*7.3/2/H606</f>
        <v>0.18186169491916393</v>
      </c>
    </row>
    <row r="607" spans="1:16" x14ac:dyDescent="0.25">
      <c r="A607" t="s">
        <v>425</v>
      </c>
      <c r="B607">
        <v>38.177</v>
      </c>
      <c r="C607">
        <v>-85.73</v>
      </c>
      <c r="D607" t="s">
        <v>1689</v>
      </c>
      <c r="E607" s="5">
        <v>1</v>
      </c>
      <c r="F607" s="7">
        <v>1</v>
      </c>
      <c r="G607">
        <f>25.5/2</f>
        <v>12.75</v>
      </c>
      <c r="H607" s="5">
        <f t="shared" si="16"/>
        <v>63.805781250000003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f>0.3/H607</f>
        <v>4.7017683056737114E-3</v>
      </c>
    </row>
    <row r="608" spans="1:16" x14ac:dyDescent="0.25">
      <c r="A608" t="s">
        <v>426</v>
      </c>
      <c r="B608">
        <v>38.185000000000002</v>
      </c>
      <c r="C608">
        <v>-84.903000000000006</v>
      </c>
      <c r="D608" t="s">
        <v>1690</v>
      </c>
      <c r="E608" s="5">
        <v>1</v>
      </c>
      <c r="F608" s="7">
        <v>1</v>
      </c>
      <c r="G608">
        <f>23.5/2</f>
        <v>11.75</v>
      </c>
      <c r="H608" s="5">
        <f t="shared" si="16"/>
        <v>54.189531250000002</v>
      </c>
      <c r="I608">
        <f>4*5/2/H608</f>
        <v>0.18453748850244944</v>
      </c>
      <c r="J608">
        <f>5.5*3.5/2/H608</f>
        <v>0.17761733268360758</v>
      </c>
      <c r="K608">
        <f>0.5/H608</f>
        <v>9.2268744251224714E-3</v>
      </c>
      <c r="L608">
        <f>4.5*1.5/2/H608</f>
        <v>6.2281402369576688E-2</v>
      </c>
      <c r="M608">
        <f>4/H608</f>
        <v>7.3814995400979772E-2</v>
      </c>
      <c r="N608">
        <v>0</v>
      </c>
      <c r="O608">
        <f>6.5*7.5/2/H608</f>
        <v>0.4498101282247205</v>
      </c>
      <c r="P608">
        <f>5/H608</f>
        <v>9.2268744251224721E-2</v>
      </c>
    </row>
    <row r="609" spans="1:16" x14ac:dyDescent="0.25">
      <c r="A609" t="s">
        <v>168</v>
      </c>
      <c r="B609" s="5">
        <v>38.213000000000001</v>
      </c>
      <c r="C609" s="5">
        <v>-122.28</v>
      </c>
      <c r="D609" s="5" t="s">
        <v>1802</v>
      </c>
      <c r="E609" s="5">
        <v>1</v>
      </c>
      <c r="F609" s="7">
        <v>1</v>
      </c>
      <c r="G609">
        <v>10</v>
      </c>
      <c r="H609" s="5">
        <f t="shared" si="16"/>
        <v>39.25</v>
      </c>
      <c r="I609">
        <v>0</v>
      </c>
      <c r="J609">
        <v>0</v>
      </c>
      <c r="K609">
        <f>0.5/H609</f>
        <v>1.2738853503184714E-2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t="s">
        <v>427</v>
      </c>
      <c r="B610" s="5">
        <v>38.228000000000002</v>
      </c>
      <c r="C610" s="5">
        <v>-85.664000000000001</v>
      </c>
      <c r="D610" s="5" t="s">
        <v>1691</v>
      </c>
      <c r="E610" s="5">
        <v>1</v>
      </c>
      <c r="F610" s="7">
        <v>1</v>
      </c>
      <c r="G610">
        <v>12.5</v>
      </c>
      <c r="H610" s="5">
        <f t="shared" si="16"/>
        <v>61.328125</v>
      </c>
      <c r="I610">
        <f>(H610-5*4.5/2)/H610</f>
        <v>0.81656050955414017</v>
      </c>
      <c r="J610">
        <v>0</v>
      </c>
      <c r="K610">
        <v>0</v>
      </c>
      <c r="L610">
        <f>1/H610</f>
        <v>1.6305732484076432E-2</v>
      </c>
      <c r="M610">
        <v>0</v>
      </c>
      <c r="N610">
        <v>0</v>
      </c>
      <c r="O610">
        <v>0</v>
      </c>
      <c r="P610">
        <f>4/H610</f>
        <v>6.5222929936305726E-2</v>
      </c>
    </row>
    <row r="611" spans="1:16" x14ac:dyDescent="0.25">
      <c r="A611" t="s">
        <v>1067</v>
      </c>
      <c r="B611">
        <v>38.247</v>
      </c>
      <c r="C611">
        <v>-78.034000000000006</v>
      </c>
      <c r="D611" t="s">
        <v>1285</v>
      </c>
      <c r="E611">
        <v>1</v>
      </c>
      <c r="F611" s="7">
        <v>0</v>
      </c>
      <c r="G611">
        <f>23.8/2</f>
        <v>11.9</v>
      </c>
      <c r="H611" s="5">
        <f t="shared" si="16"/>
        <v>55.581924999999998</v>
      </c>
      <c r="I611">
        <f>6*5/2/H611</f>
        <v>0.26987190530014932</v>
      </c>
      <c r="J611">
        <f>4/H611</f>
        <v>7.1965841413373144E-2</v>
      </c>
      <c r="K611">
        <f>4*4/2/H611</f>
        <v>0.14393168282674629</v>
      </c>
      <c r="L611">
        <f>18/H611</f>
        <v>0.32384628636017915</v>
      </c>
      <c r="M611">
        <f>4*5/2/H611</f>
        <v>0.17991460353343286</v>
      </c>
      <c r="N611">
        <f>2/H611</f>
        <v>3.5982920706686572E-2</v>
      </c>
      <c r="O611">
        <f>1/H611</f>
        <v>1.7991460353343286E-2</v>
      </c>
      <c r="P611">
        <f>1.75/H611</f>
        <v>3.148505561835075E-2</v>
      </c>
    </row>
    <row r="612" spans="1:16" x14ac:dyDescent="0.25">
      <c r="A612" t="s">
        <v>189</v>
      </c>
      <c r="B612">
        <v>38.262999999999998</v>
      </c>
      <c r="C612">
        <v>-121.928</v>
      </c>
      <c r="D612" t="s">
        <v>2249</v>
      </c>
      <c r="E612" s="5">
        <v>1</v>
      </c>
      <c r="F612" s="7">
        <v>0</v>
      </c>
      <c r="G612">
        <f>22.5/2</f>
        <v>11.25</v>
      </c>
      <c r="H612" s="5">
        <f t="shared" si="16"/>
        <v>49.675781250000007</v>
      </c>
      <c r="I612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</row>
    <row r="613" spans="1:16" x14ac:dyDescent="0.25">
      <c r="A613" t="s">
        <v>482</v>
      </c>
      <c r="B613">
        <v>38.283000000000001</v>
      </c>
      <c r="C613">
        <v>-76.400000000000006</v>
      </c>
      <c r="D613" t="s">
        <v>1652</v>
      </c>
      <c r="E613" s="5">
        <v>1</v>
      </c>
      <c r="F613" s="7">
        <v>1</v>
      </c>
      <c r="G613">
        <f>21.2/2</f>
        <v>10.6</v>
      </c>
      <c r="H613" s="5">
        <f t="shared" si="16"/>
        <v>44.101299999999995</v>
      </c>
      <c r="I613">
        <v>0</v>
      </c>
      <c r="J613" s="5">
        <v>0</v>
      </c>
      <c r="K613" s="5">
        <f>9.4*3/2/H613</f>
        <v>0.31971846634906459</v>
      </c>
      <c r="L613" s="5">
        <f>5.5/H613</f>
        <v>0.12471287694467058</v>
      </c>
      <c r="M613" s="5">
        <f>8*4.5/2/H613</f>
        <v>0.40815123363710371</v>
      </c>
      <c r="N613" s="5">
        <f>6*3.5/2/H613</f>
        <v>0.23808821962164384</v>
      </c>
      <c r="O613" s="5">
        <v>0</v>
      </c>
      <c r="P613" s="5">
        <v>0</v>
      </c>
    </row>
    <row r="614" spans="1:16" x14ac:dyDescent="0.25">
      <c r="A614" t="s">
        <v>205</v>
      </c>
      <c r="B614" s="5">
        <v>38.29</v>
      </c>
      <c r="C614" s="5">
        <v>-104.498</v>
      </c>
      <c r="D614" t="s">
        <v>1747</v>
      </c>
      <c r="E614" s="5">
        <v>1</v>
      </c>
      <c r="F614" s="7">
        <v>1</v>
      </c>
      <c r="G614">
        <v>11.5</v>
      </c>
      <c r="H614" s="5">
        <f t="shared" si="16"/>
        <v>51.908124999999998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x14ac:dyDescent="0.25">
      <c r="A615" t="s">
        <v>491</v>
      </c>
      <c r="B615" s="5">
        <v>38.308</v>
      </c>
      <c r="C615" s="5">
        <v>-75.123999999999995</v>
      </c>
      <c r="D615" s="5" t="s">
        <v>2253</v>
      </c>
      <c r="E615" s="5">
        <v>1</v>
      </c>
      <c r="F615" s="7">
        <v>1</v>
      </c>
      <c r="G615">
        <f>22.5/2</f>
        <v>11.25</v>
      </c>
      <c r="H615" s="5">
        <f t="shared" si="16"/>
        <v>49.675781250000007</v>
      </c>
      <c r="I615">
        <f>3/H615</f>
        <v>6.0391601792875671E-2</v>
      </c>
      <c r="J615">
        <f>3*3/H615</f>
        <v>0.18117480537862701</v>
      </c>
      <c r="K615">
        <f>0.5/H615</f>
        <v>1.0065266965479278E-2</v>
      </c>
      <c r="L615" s="5">
        <f>9*6/2/H615</f>
        <v>0.54352441613588098</v>
      </c>
      <c r="M615" s="5">
        <f>8.5*8/2/H615</f>
        <v>0.68443815365259097</v>
      </c>
      <c r="N615" s="5">
        <f>0.3/H615</f>
        <v>6.0391601792875666E-3</v>
      </c>
      <c r="O615" s="5">
        <f>4/H615</f>
        <v>8.0522135723834223E-2</v>
      </c>
      <c r="P615" s="5">
        <f>2.5/H615</f>
        <v>5.0326334827396388E-2</v>
      </c>
    </row>
    <row r="616" spans="1:16" x14ac:dyDescent="0.25">
      <c r="A616" t="s">
        <v>484</v>
      </c>
      <c r="B616" s="5">
        <v>38.341000000000001</v>
      </c>
      <c r="C616" s="5">
        <v>-75.510000000000005</v>
      </c>
      <c r="D616" s="5" t="s">
        <v>1654</v>
      </c>
      <c r="E616">
        <v>1</v>
      </c>
      <c r="F616" s="7">
        <v>1</v>
      </c>
      <c r="G616">
        <v>10</v>
      </c>
      <c r="H616" s="5">
        <f t="shared" si="16"/>
        <v>39.25</v>
      </c>
      <c r="I616">
        <f>4.5*4/H616</f>
        <v>0.45859872611464969</v>
      </c>
      <c r="J616" s="5">
        <f>5.5*3/H616</f>
        <v>0.42038216560509556</v>
      </c>
      <c r="K616" s="5">
        <v>0</v>
      </c>
      <c r="L616" s="5">
        <v>0</v>
      </c>
      <c r="M616" s="5">
        <f>1/H616</f>
        <v>2.5477707006369428E-2</v>
      </c>
      <c r="N616" s="5">
        <f>4.5/H616</f>
        <v>0.11464968152866242</v>
      </c>
      <c r="O616" s="5">
        <v>0</v>
      </c>
      <c r="P616" s="5">
        <v>0</v>
      </c>
    </row>
    <row r="617" spans="1:16" x14ac:dyDescent="0.25">
      <c r="A617" t="s">
        <v>150</v>
      </c>
      <c r="B617">
        <v>38.377000000000002</v>
      </c>
      <c r="C617">
        <v>-121.961</v>
      </c>
      <c r="D617" s="5" t="s">
        <v>1778</v>
      </c>
      <c r="E617" s="5">
        <v>1</v>
      </c>
      <c r="F617" s="7">
        <v>0</v>
      </c>
      <c r="G617">
        <f>21.5/2</f>
        <v>10.75</v>
      </c>
      <c r="H617" s="5">
        <f t="shared" si="16"/>
        <v>45.358281250000005</v>
      </c>
      <c r="I617">
        <v>0</v>
      </c>
      <c r="J617">
        <f>1.3/H617</f>
        <v>2.866069798445019E-2</v>
      </c>
      <c r="K617">
        <f>2.2*2/H617</f>
        <v>9.7005439331985271E-2</v>
      </c>
      <c r="L617">
        <f>4/H617</f>
        <v>8.8186763029077506E-2</v>
      </c>
      <c r="M617">
        <f>12/H617</f>
        <v>0.2645602890872325</v>
      </c>
      <c r="N617" s="5">
        <f>0.5/H617</f>
        <v>1.1023345378634688E-2</v>
      </c>
      <c r="O617" s="5">
        <v>0</v>
      </c>
      <c r="P617" s="5">
        <f>8/H617</f>
        <v>0.17637352605815501</v>
      </c>
    </row>
    <row r="618" spans="1:16" x14ac:dyDescent="0.25">
      <c r="A618" t="s">
        <v>1157</v>
      </c>
      <c r="B618">
        <v>38.378999999999998</v>
      </c>
      <c r="C618">
        <v>-81.590999999999994</v>
      </c>
      <c r="D618" s="5" t="s">
        <v>1682</v>
      </c>
      <c r="E618" s="5">
        <v>1</v>
      </c>
      <c r="F618" s="7">
        <v>1</v>
      </c>
      <c r="G618">
        <f>21.5/2</f>
        <v>10.75</v>
      </c>
      <c r="H618" s="5">
        <f t="shared" si="16"/>
        <v>45.358281250000005</v>
      </c>
      <c r="I618">
        <f>(H618-6*6.5/2)/H618</f>
        <v>0.57008953023324715</v>
      </c>
      <c r="J618" s="5">
        <f>7*4.5/2/H618</f>
        <v>0.34723537942699267</v>
      </c>
      <c r="K618" s="5">
        <v>0</v>
      </c>
      <c r="L618" s="5">
        <f>6*1.5/2/H618</f>
        <v>9.9210108407712203E-2</v>
      </c>
      <c r="M618" s="5">
        <v>0</v>
      </c>
      <c r="N618" s="5">
        <f>4*5/2/H618</f>
        <v>0.22046690757269377</v>
      </c>
      <c r="O618">
        <f>6*3.5/2/H618</f>
        <v>0.23149025295132847</v>
      </c>
      <c r="P618">
        <f>(H618-8*4.5/2)/H618</f>
        <v>0.60315956636915125</v>
      </c>
    </row>
    <row r="619" spans="1:16" x14ac:dyDescent="0.25">
      <c r="A619" t="s">
        <v>1162</v>
      </c>
      <c r="B619">
        <v>38.381999999999998</v>
      </c>
      <c r="C619">
        <v>-82.555000000000007</v>
      </c>
      <c r="D619" s="5" t="s">
        <v>1694</v>
      </c>
      <c r="E619" s="5">
        <v>1</v>
      </c>
      <c r="F619" s="7">
        <v>1</v>
      </c>
      <c r="G619">
        <v>11</v>
      </c>
      <c r="H619" s="5">
        <f t="shared" si="16"/>
        <v>47.4925</v>
      </c>
      <c r="I619">
        <f>5*4/H619</f>
        <v>0.42111912407222191</v>
      </c>
      <c r="J619">
        <f>8.5*4.5/2/H619</f>
        <v>0.40269516239406222</v>
      </c>
      <c r="K619">
        <f>3/H619</f>
        <v>6.3167868610833289E-2</v>
      </c>
      <c r="L619">
        <f>8.5*5.5/2/H619</f>
        <v>0.49218297625940938</v>
      </c>
      <c r="M619">
        <f>4.5*7.5/2/H619</f>
        <v>0.35531926093593724</v>
      </c>
      <c r="N619">
        <f>7.5*5/2/H619</f>
        <v>0.39479917881770804</v>
      </c>
      <c r="O619">
        <f>6.5*4/H619</f>
        <v>0.54745486129388854</v>
      </c>
      <c r="P619">
        <f>8*1.5/H619</f>
        <v>0.25267147444333315</v>
      </c>
    </row>
    <row r="620" spans="1:16" x14ac:dyDescent="0.25">
      <c r="A620" t="s">
        <v>1051</v>
      </c>
      <c r="B620">
        <v>38.417000000000002</v>
      </c>
      <c r="C620">
        <v>-113.017</v>
      </c>
      <c r="D620" t="s">
        <v>1197</v>
      </c>
      <c r="E620" s="5">
        <v>1</v>
      </c>
      <c r="F620" s="7">
        <v>1</v>
      </c>
      <c r="G620">
        <v>12</v>
      </c>
      <c r="H620" s="5">
        <f t="shared" si="16"/>
        <v>56.519999999999996</v>
      </c>
      <c r="I620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</row>
    <row r="621" spans="1:16" x14ac:dyDescent="0.25">
      <c r="A621" t="s">
        <v>1054</v>
      </c>
      <c r="B621" s="1">
        <v>38.442999999999998</v>
      </c>
      <c r="C621" s="1">
        <v>-113.02800000000001</v>
      </c>
      <c r="D621" s="1" t="s">
        <v>1768</v>
      </c>
      <c r="E621" s="5">
        <v>1</v>
      </c>
      <c r="F621" s="7">
        <v>1</v>
      </c>
      <c r="G621">
        <v>12.5</v>
      </c>
      <c r="H621" s="5">
        <f t="shared" si="16"/>
        <v>61.328125</v>
      </c>
      <c r="I621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</row>
    <row r="622" spans="1:16" x14ac:dyDescent="0.25">
      <c r="A622" t="s">
        <v>1057</v>
      </c>
      <c r="B622" s="1">
        <v>38.442999999999998</v>
      </c>
      <c r="C622" s="1">
        <v>-113.02800000000001</v>
      </c>
      <c r="D622" s="1" t="s">
        <v>1768</v>
      </c>
      <c r="E622" s="5">
        <v>1</v>
      </c>
      <c r="F622" s="7">
        <v>1</v>
      </c>
      <c r="G622">
        <v>12.5</v>
      </c>
      <c r="H622" s="5">
        <f t="shared" si="16"/>
        <v>61.328125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t="s">
        <v>1065</v>
      </c>
      <c r="B623" s="1">
        <v>38.442999999999998</v>
      </c>
      <c r="C623" s="1">
        <v>-113.02800000000001</v>
      </c>
      <c r="D623" s="1" t="s">
        <v>1768</v>
      </c>
      <c r="E623" s="5">
        <v>1</v>
      </c>
      <c r="F623" s="7">
        <v>1</v>
      </c>
      <c r="G623">
        <v>12.5</v>
      </c>
      <c r="H623" s="5">
        <f t="shared" si="16"/>
        <v>61.328125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x14ac:dyDescent="0.25">
      <c r="A624" t="s">
        <v>1080</v>
      </c>
      <c r="B624">
        <v>38.5</v>
      </c>
      <c r="C624">
        <v>-77.3</v>
      </c>
      <c r="D624" t="s">
        <v>1650</v>
      </c>
      <c r="E624" s="5">
        <v>1</v>
      </c>
      <c r="F624" s="7">
        <v>1</v>
      </c>
      <c r="G624">
        <v>10.199999999999999</v>
      </c>
      <c r="H624" s="5">
        <f t="shared" si="16"/>
        <v>40.835699999999996</v>
      </c>
      <c r="I624">
        <f>2/H624</f>
        <v>4.897675318410117E-2</v>
      </c>
      <c r="J624">
        <v>0</v>
      </c>
      <c r="K624">
        <v>0</v>
      </c>
      <c r="L624">
        <v>0</v>
      </c>
      <c r="M624">
        <v>0</v>
      </c>
      <c r="N624">
        <f>2.5/H624</f>
        <v>6.1220941480126467E-2</v>
      </c>
      <c r="O624">
        <f>1/H624</f>
        <v>2.4488376592050585E-2</v>
      </c>
      <c r="P624">
        <f>0.5/H624</f>
        <v>1.2244188296025292E-2</v>
      </c>
    </row>
    <row r="625" spans="1:16" x14ac:dyDescent="0.25">
      <c r="A625" t="s">
        <v>224</v>
      </c>
      <c r="B625" s="5">
        <v>38.505000000000003</v>
      </c>
      <c r="C625" s="5">
        <v>-107.898</v>
      </c>
      <c r="D625" s="5" t="s">
        <v>1770</v>
      </c>
      <c r="E625" s="5">
        <v>1</v>
      </c>
      <c r="F625" s="7">
        <v>0</v>
      </c>
      <c r="G625">
        <f>21.8/2</f>
        <v>10.9</v>
      </c>
      <c r="H625" s="5">
        <f t="shared" si="16"/>
        <v>46.632925</v>
      </c>
      <c r="I625">
        <f>1/H625</f>
        <v>2.1444076261568409E-2</v>
      </c>
      <c r="J625">
        <v>0</v>
      </c>
      <c r="K625">
        <f>0.5/H625</f>
        <v>1.0722038130784204E-2</v>
      </c>
      <c r="L625">
        <v>0</v>
      </c>
      <c r="M625" s="5">
        <v>0</v>
      </c>
      <c r="N625" s="5">
        <v>0</v>
      </c>
      <c r="O625" s="5">
        <v>0</v>
      </c>
      <c r="P625">
        <f>2.5*2/H625</f>
        <v>0.10722038130784205</v>
      </c>
    </row>
    <row r="626" spans="1:16" x14ac:dyDescent="0.25">
      <c r="A626" t="s">
        <v>170</v>
      </c>
      <c r="B626">
        <v>38.509</v>
      </c>
      <c r="C626">
        <v>-122.812</v>
      </c>
      <c r="D626" t="s">
        <v>1804</v>
      </c>
      <c r="E626" s="5">
        <v>1</v>
      </c>
      <c r="F626" s="7">
        <v>1</v>
      </c>
      <c r="G626">
        <v>9.5</v>
      </c>
      <c r="H626" s="5">
        <f t="shared" si="16"/>
        <v>35.423124999999999</v>
      </c>
      <c r="I626">
        <f>1.5/H626</f>
        <v>4.2345219401168026E-2</v>
      </c>
      <c r="J626" s="5">
        <v>0</v>
      </c>
      <c r="K626" s="5">
        <v>0</v>
      </c>
      <c r="L626" s="5">
        <v>0</v>
      </c>
      <c r="M626" s="5">
        <f>6.5*2.5/2/H626</f>
        <v>0.22936993842299347</v>
      </c>
      <c r="N626" s="5">
        <f>4*3.5/2/H626</f>
        <v>0.19761102387211743</v>
      </c>
      <c r="O626" s="5">
        <f>1/H626</f>
        <v>2.8230146267445348E-2</v>
      </c>
      <c r="P626" s="5">
        <f>2.5*2.5/2/H626</f>
        <v>8.8219207085766721E-2</v>
      </c>
    </row>
    <row r="627" spans="1:16" x14ac:dyDescent="0.25">
      <c r="A627" t="s">
        <v>151</v>
      </c>
      <c r="B627">
        <v>38.512999999999998</v>
      </c>
      <c r="C627">
        <v>-121.49299999999999</v>
      </c>
      <c r="D627" t="s">
        <v>1779</v>
      </c>
      <c r="E627" s="5">
        <v>1</v>
      </c>
      <c r="F627" s="7">
        <v>1</v>
      </c>
      <c r="G627">
        <v>11.5</v>
      </c>
      <c r="H627" s="5">
        <f t="shared" si="16"/>
        <v>51.908124999999998</v>
      </c>
      <c r="I627">
        <v>0</v>
      </c>
      <c r="J627">
        <f>2.5*5.5/2/H627</f>
        <v>0.1324455468195008</v>
      </c>
      <c r="K627">
        <f>5*8.5/2/H627</f>
        <v>0.40937714471482067</v>
      </c>
      <c r="L627">
        <f>2.5*8.5/2/H627</f>
        <v>0.20468857235741034</v>
      </c>
      <c r="M627">
        <f>7/H627</f>
        <v>0.13485364767076446</v>
      </c>
      <c r="N627">
        <f>3.5/H627</f>
        <v>6.7426823835382232E-2</v>
      </c>
      <c r="O627">
        <v>0</v>
      </c>
      <c r="P627">
        <v>0</v>
      </c>
    </row>
    <row r="628" spans="1:16" x14ac:dyDescent="0.25">
      <c r="A628" t="s">
        <v>383</v>
      </c>
      <c r="B628">
        <v>38.545000000000002</v>
      </c>
      <c r="C628">
        <v>-89.834999999999994</v>
      </c>
      <c r="D628" t="s">
        <v>1711</v>
      </c>
      <c r="E628" s="5">
        <v>1</v>
      </c>
      <c r="F628" s="7">
        <v>0</v>
      </c>
      <c r="G628">
        <f>21.3/2</f>
        <v>10.65</v>
      </c>
      <c r="H628" s="5">
        <f t="shared" si="16"/>
        <v>44.518331250000003</v>
      </c>
      <c r="I628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</row>
    <row r="629" spans="1:16" x14ac:dyDescent="0.25">
      <c r="A629" t="s">
        <v>152</v>
      </c>
      <c r="B629" s="5">
        <v>38.554000000000002</v>
      </c>
      <c r="C629" s="5">
        <v>-121.285</v>
      </c>
      <c r="D629" s="5" t="s">
        <v>1780</v>
      </c>
      <c r="E629" s="5">
        <v>1</v>
      </c>
      <c r="F629" s="7">
        <v>1</v>
      </c>
      <c r="G629">
        <f>23.7/2</f>
        <v>11.85</v>
      </c>
      <c r="H629" s="5">
        <f t="shared" si="16"/>
        <v>55.115831250000006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t="s">
        <v>392</v>
      </c>
      <c r="B630">
        <v>38.570999999999998</v>
      </c>
      <c r="C630">
        <v>-90.156999999999996</v>
      </c>
      <c r="D630" t="s">
        <v>1903</v>
      </c>
      <c r="E630" s="5">
        <v>1</v>
      </c>
      <c r="F630" s="7">
        <v>1</v>
      </c>
      <c r="G630">
        <v>12.5</v>
      </c>
      <c r="H630" s="5">
        <f t="shared" si="16"/>
        <v>61.328125</v>
      </c>
      <c r="I630">
        <v>0</v>
      </c>
      <c r="J630">
        <v>0</v>
      </c>
      <c r="K630">
        <v>0</v>
      </c>
      <c r="L630">
        <v>0</v>
      </c>
      <c r="M630">
        <f>6*8/2/H630</f>
        <v>0.39133757961783439</v>
      </c>
      <c r="N630">
        <f>5.5*11/2/H630</f>
        <v>0.49324840764331213</v>
      </c>
      <c r="O630">
        <f>6/H630</f>
        <v>9.7834394904458596E-2</v>
      </c>
      <c r="P630">
        <v>0</v>
      </c>
    </row>
    <row r="631" spans="1:16" x14ac:dyDescent="0.25">
      <c r="A631" t="s">
        <v>579</v>
      </c>
      <c r="B631" s="5">
        <v>38.591000000000001</v>
      </c>
      <c r="C631" s="5">
        <v>-92.156000000000006</v>
      </c>
      <c r="D631" s="5" t="s">
        <v>1734</v>
      </c>
      <c r="E631" s="5">
        <v>1</v>
      </c>
      <c r="F631" s="7">
        <v>0</v>
      </c>
      <c r="G631">
        <f>25.8/2</f>
        <v>12.9</v>
      </c>
      <c r="H631" s="5">
        <f t="shared" si="16"/>
        <v>65.315925000000007</v>
      </c>
      <c r="I631">
        <v>0</v>
      </c>
      <c r="J631">
        <f>0.3/H631</f>
        <v>4.5930605744311202E-3</v>
      </c>
      <c r="K631">
        <f>1/H631</f>
        <v>1.5310201914770401E-2</v>
      </c>
      <c r="L631">
        <v>0</v>
      </c>
      <c r="M631" s="5">
        <v>0</v>
      </c>
      <c r="N631" s="5">
        <v>0</v>
      </c>
      <c r="O631" s="5">
        <v>0</v>
      </c>
      <c r="P631" s="5">
        <v>0</v>
      </c>
    </row>
    <row r="632" spans="1:16" x14ac:dyDescent="0.25">
      <c r="A632" t="s">
        <v>571</v>
      </c>
      <c r="B632">
        <v>38.656999999999996</v>
      </c>
      <c r="C632">
        <v>-90.656000000000006</v>
      </c>
      <c r="D632" t="s">
        <v>1713</v>
      </c>
      <c r="E632" s="5">
        <v>1</v>
      </c>
      <c r="F632" s="7">
        <v>1</v>
      </c>
      <c r="G632">
        <v>13</v>
      </c>
      <c r="H632" s="5">
        <f t="shared" si="16"/>
        <v>66.332499999999996</v>
      </c>
      <c r="I632">
        <f>4*2/H632</f>
        <v>0.12060453020766593</v>
      </c>
      <c r="J632">
        <v>0</v>
      </c>
      <c r="K632">
        <f>1/H632</f>
        <v>1.5075566275958241E-2</v>
      </c>
      <c r="L632">
        <f>3.5/H632</f>
        <v>5.2764481965853843E-2</v>
      </c>
      <c r="M632">
        <f>0.3/H632</f>
        <v>4.5226698827874725E-3</v>
      </c>
      <c r="N632">
        <v>0</v>
      </c>
      <c r="O632">
        <v>0</v>
      </c>
      <c r="P632">
        <v>0</v>
      </c>
    </row>
    <row r="633" spans="1:16" x14ac:dyDescent="0.25">
      <c r="A633" t="s">
        <v>153</v>
      </c>
      <c r="B633" s="5">
        <v>38.667000000000002</v>
      </c>
      <c r="C633" s="5">
        <v>-121.4</v>
      </c>
      <c r="D633" s="5" t="s">
        <v>1781</v>
      </c>
      <c r="E633" s="5">
        <v>1</v>
      </c>
      <c r="F633" s="7">
        <v>0</v>
      </c>
      <c r="G633">
        <f>20.5/2</f>
        <v>10.25</v>
      </c>
      <c r="H633" s="5">
        <f t="shared" si="16"/>
        <v>41.237031250000001</v>
      </c>
      <c r="I633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</row>
    <row r="634" spans="1:16" x14ac:dyDescent="0.25">
      <c r="A634" t="s">
        <v>242</v>
      </c>
      <c r="B634" s="5">
        <v>38.689</v>
      </c>
      <c r="C634" s="5">
        <v>-75.358999999999995</v>
      </c>
      <c r="D634" s="5" t="s">
        <v>1670</v>
      </c>
      <c r="E634" s="5">
        <v>1</v>
      </c>
      <c r="F634" s="7">
        <v>1</v>
      </c>
      <c r="G634">
        <v>12</v>
      </c>
      <c r="H634" s="5">
        <f t="shared" si="16"/>
        <v>56.519999999999996</v>
      </c>
      <c r="I634">
        <f>5*5.5/2/H634</f>
        <v>0.24327671620665253</v>
      </c>
      <c r="J634">
        <v>0</v>
      </c>
      <c r="K634">
        <v>0</v>
      </c>
      <c r="L634">
        <v>0</v>
      </c>
      <c r="M634">
        <v>0</v>
      </c>
      <c r="N634">
        <f>2.5*5/2/H634</f>
        <v>0.11058032554847842</v>
      </c>
      <c r="O634">
        <f>4*8.5/2/H634</f>
        <v>0.30077848549186131</v>
      </c>
      <c r="P634">
        <f>7*10/2/H634</f>
        <v>0.61924982307147913</v>
      </c>
    </row>
    <row r="635" spans="1:16" x14ac:dyDescent="0.25">
      <c r="A635" t="s">
        <v>156</v>
      </c>
      <c r="B635" s="5">
        <v>38.695999999999998</v>
      </c>
      <c r="C635" s="5">
        <v>-121.59</v>
      </c>
      <c r="D635" s="5" t="s">
        <v>1784</v>
      </c>
      <c r="E635">
        <v>1</v>
      </c>
      <c r="F635" s="7">
        <v>1</v>
      </c>
      <c r="G635">
        <f>11.5</f>
        <v>11.5</v>
      </c>
      <c r="H635" s="5">
        <f t="shared" si="16"/>
        <v>51.908124999999998</v>
      </c>
      <c r="I635">
        <v>0</v>
      </c>
      <c r="J635">
        <f>0.3/H635</f>
        <v>5.7794420430327623E-3</v>
      </c>
      <c r="K635">
        <f>2/H635</f>
        <v>3.8529613620218416E-2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x14ac:dyDescent="0.25">
      <c r="A636" t="s">
        <v>216</v>
      </c>
      <c r="B636" s="5">
        <v>38.700000000000003</v>
      </c>
      <c r="C636" s="5">
        <v>-104.767</v>
      </c>
      <c r="D636" s="5" t="s">
        <v>1757</v>
      </c>
      <c r="E636">
        <v>1</v>
      </c>
      <c r="F636" s="7">
        <v>0</v>
      </c>
      <c r="G636">
        <f>20.8/2</f>
        <v>10.4</v>
      </c>
      <c r="H636" s="5">
        <f t="shared" si="16"/>
        <v>42.452800000000011</v>
      </c>
      <c r="I636">
        <v>0</v>
      </c>
      <c r="J636">
        <v>0</v>
      </c>
      <c r="K636">
        <v>0</v>
      </c>
      <c r="L636">
        <v>0</v>
      </c>
      <c r="M636">
        <f>0.4/H636</f>
        <v>9.4222289224738989E-3</v>
      </c>
      <c r="N636">
        <f>4.6/H636</f>
        <v>0.10835563260844983</v>
      </c>
      <c r="O636">
        <v>0</v>
      </c>
      <c r="P636" s="5">
        <v>0</v>
      </c>
    </row>
    <row r="637" spans="1:16" x14ac:dyDescent="0.25">
      <c r="A637" t="s">
        <v>575</v>
      </c>
      <c r="B637">
        <v>38.704000000000001</v>
      </c>
      <c r="C637">
        <v>-93.183000000000007</v>
      </c>
      <c r="D637" t="s">
        <v>1730</v>
      </c>
      <c r="E637">
        <v>1</v>
      </c>
      <c r="F637" s="7">
        <v>1</v>
      </c>
      <c r="G637">
        <f>24.5/2</f>
        <v>12.25</v>
      </c>
      <c r="H637" s="5">
        <f t="shared" si="16"/>
        <v>58.899531250000003</v>
      </c>
      <c r="I637">
        <v>0</v>
      </c>
      <c r="J637">
        <v>0</v>
      </c>
      <c r="K637">
        <f>3.5*4/2/H637</f>
        <v>0.11884644667694193</v>
      </c>
      <c r="L637">
        <v>0</v>
      </c>
      <c r="M637">
        <v>0</v>
      </c>
      <c r="N637">
        <f>2.5/H637</f>
        <v>4.2445159527479258E-2</v>
      </c>
      <c r="O637">
        <f>5.5*2.8/2/H637</f>
        <v>0.13073109134463612</v>
      </c>
      <c r="P637">
        <f>0.8/H637</f>
        <v>1.3582451048793364E-2</v>
      </c>
    </row>
    <row r="638" spans="1:16" x14ac:dyDescent="0.25">
      <c r="A638" t="s">
        <v>1081</v>
      </c>
      <c r="B638" s="5">
        <v>38.715000000000003</v>
      </c>
      <c r="C638" s="5">
        <v>-77.314999999999998</v>
      </c>
      <c r="D638" t="s">
        <v>1651</v>
      </c>
      <c r="E638">
        <v>1</v>
      </c>
      <c r="F638" s="7">
        <v>0</v>
      </c>
      <c r="G638">
        <f>18.5/2</f>
        <v>9.25</v>
      </c>
      <c r="H638" s="5">
        <f t="shared" si="16"/>
        <v>33.583281249999999</v>
      </c>
      <c r="I638">
        <f>5.5*3/2/H638</f>
        <v>0.24565794922138529</v>
      </c>
      <c r="J638">
        <f>3*2.5/2/H638</f>
        <v>0.11166270419153876</v>
      </c>
      <c r="K638">
        <f>3/H638</f>
        <v>8.9330163353231004E-2</v>
      </c>
      <c r="L638">
        <f>0.5/H638</f>
        <v>1.4888360558871836E-2</v>
      </c>
      <c r="M638">
        <f>3*6.5/2/H638</f>
        <v>0.29032303089800077</v>
      </c>
      <c r="N638" s="5">
        <f>7*7/2/H638</f>
        <v>0.72952966738471992</v>
      </c>
      <c r="O638" s="5">
        <f>3.5*6/2/H638</f>
        <v>0.31265557173630854</v>
      </c>
      <c r="P638" s="5">
        <f>2.5*1.5/2/H638</f>
        <v>5.5831352095769379E-2</v>
      </c>
    </row>
    <row r="639" spans="1:16" x14ac:dyDescent="0.25">
      <c r="A639" t="s">
        <v>585</v>
      </c>
      <c r="B639">
        <v>38.729999999999997</v>
      </c>
      <c r="C639">
        <v>-93.548000000000002</v>
      </c>
      <c r="D639" t="s">
        <v>1740</v>
      </c>
      <c r="E639" s="5">
        <v>1</v>
      </c>
      <c r="F639" s="7">
        <v>0</v>
      </c>
      <c r="G639">
        <f>24.2/2</f>
        <v>12.1</v>
      </c>
      <c r="H639" s="5">
        <f t="shared" ref="H639:H648" si="17">3.14*G639*G639/8</f>
        <v>57.465924999999999</v>
      </c>
      <c r="I639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</row>
    <row r="640" spans="1:16" x14ac:dyDescent="0.25">
      <c r="A640" t="s">
        <v>570</v>
      </c>
      <c r="B640" s="5">
        <v>38.753</v>
      </c>
      <c r="C640" s="5">
        <v>-90.373999999999995</v>
      </c>
      <c r="D640" s="5" t="s">
        <v>1712</v>
      </c>
      <c r="E640" s="5">
        <v>1</v>
      </c>
      <c r="F640" s="7">
        <v>1</v>
      </c>
      <c r="G640">
        <f>19.5/2</f>
        <v>9.75</v>
      </c>
      <c r="H640" s="5">
        <f t="shared" si="17"/>
        <v>37.312031250000004</v>
      </c>
      <c r="I640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</row>
    <row r="641" spans="1:16" x14ac:dyDescent="0.25">
      <c r="A641" t="s">
        <v>1055</v>
      </c>
      <c r="B641" s="5">
        <v>38.755000000000003</v>
      </c>
      <c r="C641" s="5">
        <v>-109.754</v>
      </c>
      <c r="D641" s="5" t="s">
        <v>1773</v>
      </c>
      <c r="E641">
        <v>1</v>
      </c>
      <c r="F641" s="7">
        <v>1</v>
      </c>
      <c r="G641">
        <f>21.5/2</f>
        <v>10.75</v>
      </c>
      <c r="H641" s="5">
        <f t="shared" si="17"/>
        <v>45.358281250000005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t="s">
        <v>398</v>
      </c>
      <c r="B642" s="5">
        <v>38.764000000000003</v>
      </c>
      <c r="C642" s="5">
        <v>-87.605999999999995</v>
      </c>
      <c r="D642" s="5" t="s">
        <v>1913</v>
      </c>
      <c r="E642" s="5">
        <v>1</v>
      </c>
      <c r="F642" s="7">
        <v>1</v>
      </c>
      <c r="G642">
        <v>10.5</v>
      </c>
      <c r="H642" s="5">
        <f t="shared" si="17"/>
        <v>43.273125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t="s">
        <v>199</v>
      </c>
      <c r="B643">
        <v>38.767000000000003</v>
      </c>
      <c r="C643">
        <v>-104.3</v>
      </c>
      <c r="D643" t="s">
        <v>1450</v>
      </c>
      <c r="E643" s="5">
        <v>1</v>
      </c>
      <c r="F643" s="7">
        <v>1</v>
      </c>
      <c r="G643">
        <v>12</v>
      </c>
      <c r="H643" s="5">
        <f t="shared" si="17"/>
        <v>56.519999999999996</v>
      </c>
      <c r="I643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</row>
    <row r="644" spans="1:16" x14ac:dyDescent="0.25">
      <c r="A644" t="s">
        <v>483</v>
      </c>
      <c r="B644">
        <v>38.804000000000002</v>
      </c>
      <c r="C644">
        <v>-76.069000000000003</v>
      </c>
      <c r="D644" t="s">
        <v>1653</v>
      </c>
      <c r="E644" s="5">
        <v>1</v>
      </c>
      <c r="F644" s="7">
        <v>0</v>
      </c>
      <c r="G644">
        <v>13</v>
      </c>
      <c r="H644" s="5">
        <f t="shared" si="17"/>
        <v>66.332499999999996</v>
      </c>
      <c r="I644">
        <f>1.5*4.5/2/H644</f>
        <v>5.0880036181359063E-2</v>
      </c>
      <c r="J644">
        <v>0</v>
      </c>
      <c r="K644">
        <f>3*7/2/H644</f>
        <v>0.15829344589756153</v>
      </c>
      <c r="L644">
        <f>3.5*4/2/H644</f>
        <v>0.10552896393170769</v>
      </c>
      <c r="M644">
        <v>0</v>
      </c>
      <c r="N644" s="5">
        <f>3/H644</f>
        <v>4.5226698827874723E-2</v>
      </c>
      <c r="O644" s="5">
        <f>6.5*2.5/2/H644</f>
        <v>0.12248897599216071</v>
      </c>
      <c r="P644" s="5">
        <v>0</v>
      </c>
    </row>
    <row r="645" spans="1:16" x14ac:dyDescent="0.25">
      <c r="A645" t="s">
        <v>490</v>
      </c>
      <c r="B645" s="5">
        <v>38.811</v>
      </c>
      <c r="C645" s="5">
        <v>-76.867000000000004</v>
      </c>
      <c r="D645" s="5" t="s">
        <v>2252</v>
      </c>
      <c r="E645" s="5">
        <v>1</v>
      </c>
      <c r="F645" s="7">
        <v>0</v>
      </c>
      <c r="G645">
        <v>10.199999999999999</v>
      </c>
      <c r="H645" s="5">
        <f t="shared" si="17"/>
        <v>40.835699999999996</v>
      </c>
      <c r="I64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</row>
    <row r="646" spans="1:16" x14ac:dyDescent="0.25">
      <c r="A646" t="s">
        <v>208</v>
      </c>
      <c r="B646" s="5">
        <v>38.811999999999998</v>
      </c>
      <c r="C646" s="5">
        <v>-104.711</v>
      </c>
      <c r="D646" t="s">
        <v>1750</v>
      </c>
      <c r="E646" s="5">
        <v>1</v>
      </c>
      <c r="F646" s="7">
        <v>1</v>
      </c>
      <c r="G646">
        <f>24.5/2</f>
        <v>12.25</v>
      </c>
      <c r="H646" s="5">
        <f t="shared" si="17"/>
        <v>58.899531250000003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f>1/H646</f>
        <v>1.6978063810991702E-2</v>
      </c>
      <c r="P646">
        <f>1/H646</f>
        <v>1.6978063810991702E-2</v>
      </c>
    </row>
    <row r="647" spans="1:16" x14ac:dyDescent="0.25">
      <c r="A647" t="s">
        <v>574</v>
      </c>
      <c r="B647">
        <v>38.817</v>
      </c>
      <c r="C647">
        <v>-92.218000000000004</v>
      </c>
      <c r="D647" t="s">
        <v>1729</v>
      </c>
      <c r="E647">
        <v>1</v>
      </c>
      <c r="F647" s="7">
        <v>1</v>
      </c>
      <c r="G647">
        <f>24.5/2</f>
        <v>12.25</v>
      </c>
      <c r="H647" s="5">
        <f t="shared" si="17"/>
        <v>58.899531250000003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x14ac:dyDescent="0.25">
      <c r="A648" t="s">
        <v>584</v>
      </c>
      <c r="B648">
        <v>38.835000000000001</v>
      </c>
      <c r="C648">
        <v>-94.561000000000007</v>
      </c>
      <c r="D648" t="s">
        <v>1739</v>
      </c>
      <c r="E648" s="5">
        <v>1</v>
      </c>
      <c r="F648" s="7">
        <v>0</v>
      </c>
      <c r="G648">
        <f>20.5/2</f>
        <v>10.25</v>
      </c>
      <c r="H648" s="5">
        <f t="shared" si="17"/>
        <v>41.237031250000001</v>
      </c>
      <c r="I648">
        <f>3*5/2/H648</f>
        <v>0.18187536232982338</v>
      </c>
      <c r="J648">
        <f>2/H648</f>
        <v>4.8500096621286237E-2</v>
      </c>
      <c r="K648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</row>
    <row r="649" spans="1:16" x14ac:dyDescent="0.25">
      <c r="A649" t="s">
        <v>239</v>
      </c>
      <c r="B649">
        <v>38.865000000000002</v>
      </c>
      <c r="C649">
        <v>-77.034000000000006</v>
      </c>
      <c r="D649" t="s">
        <v>1655</v>
      </c>
      <c r="E649" s="5">
        <v>1</v>
      </c>
      <c r="F649" s="7">
        <v>1</v>
      </c>
      <c r="G649">
        <v>12.5</v>
      </c>
      <c r="H649" s="5">
        <f t="shared" ref="H649:H687" si="18">3.14*G649*G649/8</f>
        <v>61.328125</v>
      </c>
      <c r="I649">
        <v>0</v>
      </c>
      <c r="J649">
        <v>0</v>
      </c>
      <c r="K649">
        <v>0</v>
      </c>
      <c r="L649">
        <v>0</v>
      </c>
      <c r="M649">
        <f>1.5/H649</f>
        <v>2.4458598726114649E-2</v>
      </c>
      <c r="N649">
        <v>0</v>
      </c>
      <c r="O649">
        <v>0</v>
      </c>
      <c r="P649">
        <v>0</v>
      </c>
    </row>
    <row r="650" spans="1:16" x14ac:dyDescent="0.25">
      <c r="A650" t="s">
        <v>1158</v>
      </c>
      <c r="B650">
        <v>38.884999999999998</v>
      </c>
      <c r="C650">
        <v>-79.852999999999994</v>
      </c>
      <c r="D650" t="s">
        <v>1683</v>
      </c>
      <c r="E650">
        <v>1</v>
      </c>
      <c r="F650" s="7">
        <v>1</v>
      </c>
      <c r="G650">
        <v>11</v>
      </c>
      <c r="H650" s="5">
        <f t="shared" si="18"/>
        <v>47.4925</v>
      </c>
      <c r="I650">
        <f>3/H650</f>
        <v>6.3167868610833289E-2</v>
      </c>
      <c r="J650">
        <f>3.5*4.5/H650</f>
        <v>0.33163131020687475</v>
      </c>
      <c r="K650">
        <f>11*3.5/2/H650</f>
        <v>0.4053271569195136</v>
      </c>
      <c r="L650">
        <f>4*2.8/2/H650</f>
        <v>0.11791335474022213</v>
      </c>
      <c r="M650">
        <f>6*3/2/H650</f>
        <v>0.18950360583249987</v>
      </c>
      <c r="N650">
        <f>2.4/H650</f>
        <v>5.0534294888666627E-2</v>
      </c>
      <c r="O650">
        <f>3*1.4/H650</f>
        <v>8.8435016055166585E-2</v>
      </c>
      <c r="P650">
        <v>0</v>
      </c>
    </row>
    <row r="651" spans="1:16" x14ac:dyDescent="0.25">
      <c r="A651" t="s">
        <v>385</v>
      </c>
      <c r="B651" s="5">
        <v>38.89</v>
      </c>
      <c r="C651" s="5">
        <v>-90.046000000000006</v>
      </c>
      <c r="D651" s="5" t="s">
        <v>1725</v>
      </c>
      <c r="E651" s="5">
        <v>1</v>
      </c>
      <c r="F651" s="7">
        <v>1</v>
      </c>
      <c r="G651">
        <v>12.5</v>
      </c>
      <c r="H651" s="5">
        <f t="shared" si="18"/>
        <v>61.328125</v>
      </c>
      <c r="I651">
        <f>(H651-9*10/2)/H651</f>
        <v>0.26624203821656051</v>
      </c>
      <c r="J651">
        <f>1.8*1.8/H651</f>
        <v>5.2830573248407647E-2</v>
      </c>
      <c r="K651">
        <v>0</v>
      </c>
      <c r="L651">
        <v>0</v>
      </c>
      <c r="M651">
        <f>7.5*4.5/2/H651</f>
        <v>0.2751592356687898</v>
      </c>
      <c r="N651">
        <f>5*6.5/2/H651</f>
        <v>0.26496815286624203</v>
      </c>
      <c r="O651">
        <f>8*5/2/H651</f>
        <v>0.32611464968152865</v>
      </c>
      <c r="P651">
        <f>6*3.5/2/H651</f>
        <v>0.17121019108280255</v>
      </c>
    </row>
    <row r="652" spans="1:16" x14ac:dyDescent="0.25">
      <c r="A652" t="s">
        <v>173</v>
      </c>
      <c r="B652" s="5">
        <v>38.893999999999998</v>
      </c>
      <c r="C652" s="5">
        <v>-119.995</v>
      </c>
      <c r="D652" s="5" t="s">
        <v>1999</v>
      </c>
      <c r="E652">
        <v>1</v>
      </c>
      <c r="F652" s="7">
        <v>1</v>
      </c>
      <c r="G652" s="5">
        <f>19.8/2</f>
        <v>9.9</v>
      </c>
      <c r="H652" s="5">
        <f t="shared" si="18"/>
        <v>38.468925000000006</v>
      </c>
      <c r="I652" s="5">
        <f>5*7/2/H652</f>
        <v>0.45491263402863474</v>
      </c>
      <c r="J652" s="5">
        <f>0.4/H652</f>
        <v>1.0398003063511652E-2</v>
      </c>
      <c r="K652" s="5">
        <f>3.5*7/2/H652</f>
        <v>0.31843884382004434</v>
      </c>
      <c r="L652" s="5">
        <f>3*5/2/H652</f>
        <v>0.19496255744084345</v>
      </c>
      <c r="M652" s="5">
        <v>0</v>
      </c>
      <c r="N652" s="5">
        <f>5*6/2/H652</f>
        <v>0.38992511488168691</v>
      </c>
      <c r="O652" s="5">
        <f>7*7/2/H652</f>
        <v>0.63687768764008867</v>
      </c>
      <c r="P652" s="5">
        <f>7.5*9/2/H652</f>
        <v>0.8773315084837956</v>
      </c>
    </row>
    <row r="653" spans="1:16" x14ac:dyDescent="0.25">
      <c r="A653" t="s">
        <v>572</v>
      </c>
      <c r="B653">
        <v>38.929000000000002</v>
      </c>
      <c r="C653">
        <v>-90.427999999999997</v>
      </c>
      <c r="D653" t="s">
        <v>1714</v>
      </c>
      <c r="E653" s="5">
        <v>1</v>
      </c>
      <c r="F653" s="7">
        <v>1</v>
      </c>
      <c r="G653">
        <v>11</v>
      </c>
      <c r="H653" s="5">
        <f t="shared" si="18"/>
        <v>47.4925</v>
      </c>
      <c r="I653">
        <f>0.4/H653</f>
        <v>8.422382481444439E-3</v>
      </c>
      <c r="J653">
        <v>0</v>
      </c>
      <c r="K653">
        <v>0</v>
      </c>
      <c r="L653">
        <v>0</v>
      </c>
      <c r="M653">
        <f>1.4/H653</f>
        <v>2.9478338685055533E-2</v>
      </c>
      <c r="N653">
        <f>1.5/H653</f>
        <v>3.1583934305416644E-2</v>
      </c>
      <c r="O653">
        <f>1/H653</f>
        <v>2.1055956203611097E-2</v>
      </c>
      <c r="P653">
        <v>0</v>
      </c>
    </row>
    <row r="654" spans="1:16" x14ac:dyDescent="0.25">
      <c r="A654" t="s">
        <v>1079</v>
      </c>
      <c r="B654">
        <v>38.935000000000002</v>
      </c>
      <c r="C654">
        <v>-77.447999999999993</v>
      </c>
      <c r="D654" t="s">
        <v>1649</v>
      </c>
      <c r="E654" s="5">
        <v>1</v>
      </c>
      <c r="F654" s="7">
        <v>1</v>
      </c>
      <c r="G654">
        <v>10</v>
      </c>
      <c r="H654" s="5">
        <f t="shared" si="18"/>
        <v>39.25</v>
      </c>
      <c r="I654">
        <f>1.4/H654</f>
        <v>3.5668789808917196E-2</v>
      </c>
      <c r="J654">
        <v>0</v>
      </c>
      <c r="K654">
        <f>3.5/H654</f>
        <v>8.9171974522292988E-2</v>
      </c>
      <c r="L654">
        <f>4*5/2/H654</f>
        <v>0.25477707006369427</v>
      </c>
      <c r="M654" s="5">
        <f>4*6/2/H654</f>
        <v>0.30573248407643311</v>
      </c>
      <c r="N654" s="5">
        <f>3*2.5/2/H654</f>
        <v>9.5541401273885357E-2</v>
      </c>
      <c r="O654" s="5">
        <f>4/H654</f>
        <v>0.10191082802547771</v>
      </c>
      <c r="P654" s="5">
        <v>0</v>
      </c>
    </row>
    <row r="655" spans="1:16" x14ac:dyDescent="0.25">
      <c r="A655" t="s">
        <v>564</v>
      </c>
      <c r="B655">
        <v>38.96</v>
      </c>
      <c r="C655">
        <v>-94.370999999999995</v>
      </c>
      <c r="D655" t="s">
        <v>1210</v>
      </c>
      <c r="E655" s="5">
        <v>1</v>
      </c>
      <c r="F655" s="7">
        <v>1</v>
      </c>
      <c r="G655">
        <f>25.5/2</f>
        <v>12.75</v>
      </c>
      <c r="H655" s="5">
        <f t="shared" si="18"/>
        <v>63.805781250000003</v>
      </c>
      <c r="I655">
        <f>0.4/H655</f>
        <v>6.2690244075649494E-3</v>
      </c>
      <c r="J655">
        <f>5/H655</f>
        <v>7.8362805094561866E-2</v>
      </c>
      <c r="K655">
        <v>0</v>
      </c>
      <c r="L655">
        <f>3*3/H655</f>
        <v>0.14105304917021136</v>
      </c>
      <c r="M655" s="5">
        <f>6*5/2/H655</f>
        <v>0.2350884152836856</v>
      </c>
      <c r="N655" s="5">
        <f>0.4/H655</f>
        <v>6.2690244075649494E-3</v>
      </c>
      <c r="O655" s="5">
        <f>2/H655</f>
        <v>3.1345122037824746E-2</v>
      </c>
      <c r="P655" s="5">
        <v>0</v>
      </c>
    </row>
    <row r="656" spans="1:16" x14ac:dyDescent="0.25">
      <c r="A656" t="s">
        <v>230</v>
      </c>
      <c r="B656">
        <v>38.972000000000001</v>
      </c>
      <c r="C656">
        <v>-104.813</v>
      </c>
      <c r="D656" t="s">
        <v>2250</v>
      </c>
      <c r="E656" s="5">
        <v>1</v>
      </c>
      <c r="F656" s="7">
        <v>0</v>
      </c>
      <c r="G656">
        <f>19.6/2</f>
        <v>9.8000000000000007</v>
      </c>
      <c r="H656" s="5">
        <f t="shared" si="18"/>
        <v>37.695700000000002</v>
      </c>
      <c r="I656">
        <v>0</v>
      </c>
      <c r="J656">
        <v>0</v>
      </c>
      <c r="K656" s="5">
        <v>0</v>
      </c>
      <c r="L656" s="5">
        <f>1/H656</f>
        <v>2.6528224704674537E-2</v>
      </c>
      <c r="M656" s="5">
        <v>0</v>
      </c>
      <c r="N656" s="5">
        <v>0</v>
      </c>
      <c r="O656" s="5">
        <v>0</v>
      </c>
      <c r="P656" s="5">
        <v>0</v>
      </c>
    </row>
    <row r="657" spans="1:16" x14ac:dyDescent="0.25">
      <c r="A657" t="s">
        <v>423</v>
      </c>
      <c r="B657">
        <v>39.042999999999999</v>
      </c>
      <c r="C657">
        <v>-84.671999999999997</v>
      </c>
      <c r="D657" t="s">
        <v>1687</v>
      </c>
      <c r="E657" s="5">
        <v>1</v>
      </c>
      <c r="F657" s="7">
        <v>1</v>
      </c>
      <c r="G657">
        <f>18.5/2</f>
        <v>9.25</v>
      </c>
      <c r="H657" s="5">
        <f t="shared" si="18"/>
        <v>33.583281249999999</v>
      </c>
      <c r="I657">
        <v>0</v>
      </c>
      <c r="J657">
        <v>0</v>
      </c>
      <c r="K657">
        <v>0</v>
      </c>
      <c r="L657" s="5">
        <f>1/H657</f>
        <v>2.9776721117743672E-2</v>
      </c>
      <c r="M657" s="5">
        <f>3.8/H657</f>
        <v>0.11315154024742594</v>
      </c>
      <c r="N657" s="5">
        <f>1/H657</f>
        <v>2.9776721117743672E-2</v>
      </c>
      <c r="O657" s="5">
        <v>0</v>
      </c>
      <c r="P657">
        <v>0</v>
      </c>
    </row>
    <row r="658" spans="1:16" x14ac:dyDescent="0.25">
      <c r="A658" t="s">
        <v>486</v>
      </c>
      <c r="B658">
        <v>39.082999999999998</v>
      </c>
      <c r="C658">
        <v>-76.75</v>
      </c>
      <c r="D658" t="s">
        <v>1657</v>
      </c>
      <c r="E658" s="5">
        <v>1</v>
      </c>
      <c r="F658" s="7">
        <v>0</v>
      </c>
      <c r="G658">
        <f>21.8/2</f>
        <v>10.9</v>
      </c>
      <c r="H658" s="5">
        <f t="shared" si="18"/>
        <v>46.632925</v>
      </c>
      <c r="I658">
        <f>5*2.5/2/H658</f>
        <v>0.13402547663480255</v>
      </c>
      <c r="J658">
        <f>4/H658</f>
        <v>8.5776305046273635E-2</v>
      </c>
      <c r="K658">
        <f>6*3/2/H658</f>
        <v>0.19299668635411568</v>
      </c>
      <c r="L658">
        <f>(H658-3.5*4/2)/H658</f>
        <v>0.84989146616902111</v>
      </c>
      <c r="M658">
        <f>(H658-3.5*3.5/2)/H658</f>
        <v>0.86865503289789348</v>
      </c>
      <c r="N658">
        <f>(H658-5.5*2.5/2)/H658</f>
        <v>0.85257197570171717</v>
      </c>
      <c r="O658">
        <f>5*2.5/2/H658</f>
        <v>0.13402547663480255</v>
      </c>
      <c r="P658">
        <f>0.5/H658</f>
        <v>1.0722038130784204E-2</v>
      </c>
    </row>
    <row r="659" spans="1:16" x14ac:dyDescent="0.25">
      <c r="A659" t="s">
        <v>155</v>
      </c>
      <c r="B659" s="5">
        <v>39.097999999999999</v>
      </c>
      <c r="C659" s="5">
        <v>-121.57</v>
      </c>
      <c r="D659" s="5" t="s">
        <v>1783</v>
      </c>
      <c r="E659" s="5">
        <v>1</v>
      </c>
      <c r="F659" s="7">
        <v>1</v>
      </c>
      <c r="G659">
        <f>24.5/2</f>
        <v>12.25</v>
      </c>
      <c r="H659" s="5">
        <f t="shared" si="18"/>
        <v>58.899531250000003</v>
      </c>
      <c r="I659">
        <f>4*3.8/2/H659</f>
        <v>0.12903328496353694</v>
      </c>
      <c r="J659" s="5">
        <f>4*3.5/2/H659</f>
        <v>0.11884644667694193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</row>
    <row r="660" spans="1:16" x14ac:dyDescent="0.25">
      <c r="A660" t="s">
        <v>804</v>
      </c>
      <c r="B660" s="5">
        <v>39.103000000000002</v>
      </c>
      <c r="C660" s="5">
        <v>-84.418999999999997</v>
      </c>
      <c r="D660" s="5" t="s">
        <v>1706</v>
      </c>
      <c r="E660">
        <v>1</v>
      </c>
      <c r="F660" s="7">
        <v>1</v>
      </c>
      <c r="G660">
        <f>22.5/2</f>
        <v>11.25</v>
      </c>
      <c r="H660" s="5">
        <f t="shared" si="18"/>
        <v>49.675781250000007</v>
      </c>
      <c r="I660">
        <v>0</v>
      </c>
      <c r="J660">
        <v>0</v>
      </c>
      <c r="K660">
        <f>1/H660</f>
        <v>2.0130533930958556E-2</v>
      </c>
      <c r="L660">
        <f>1.5/H660</f>
        <v>3.0195800896437835E-2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t="s">
        <v>582</v>
      </c>
      <c r="B661" s="1">
        <v>39.122999999999998</v>
      </c>
      <c r="C661" s="1">
        <v>-94.593000000000004</v>
      </c>
      <c r="D661" s="1" t="s">
        <v>1737</v>
      </c>
      <c r="E661" s="5">
        <v>1</v>
      </c>
      <c r="F661" s="7">
        <v>1</v>
      </c>
      <c r="G661" s="5">
        <f>21.5/2</f>
        <v>10.75</v>
      </c>
      <c r="H661" s="5">
        <f t="shared" si="18"/>
        <v>45.358281250000005</v>
      </c>
      <c r="I661" s="5">
        <f>2/H661</f>
        <v>4.4093381514538753E-2</v>
      </c>
      <c r="J661" s="5">
        <v>0</v>
      </c>
      <c r="K661" s="5">
        <v>0</v>
      </c>
      <c r="L661" s="5">
        <v>0</v>
      </c>
      <c r="M661" s="5">
        <v>0</v>
      </c>
      <c r="N661" s="5">
        <f>2/H661</f>
        <v>4.4093381514538753E-2</v>
      </c>
      <c r="O661" s="5">
        <f>3/H661</f>
        <v>6.6140072271808126E-2</v>
      </c>
      <c r="P661" s="5">
        <f>2.5/H661</f>
        <v>5.5116726893173443E-2</v>
      </c>
    </row>
    <row r="662" spans="1:16" x14ac:dyDescent="0.25">
      <c r="A662" t="s">
        <v>581</v>
      </c>
      <c r="B662" s="1">
        <v>39.122999999999998</v>
      </c>
      <c r="C662" s="1">
        <v>-94.593000000000004</v>
      </c>
      <c r="D662" s="1" t="s">
        <v>1736</v>
      </c>
      <c r="E662" s="5">
        <v>1</v>
      </c>
      <c r="F662" s="7">
        <v>1</v>
      </c>
      <c r="G662">
        <f>21.5/2</f>
        <v>10.75</v>
      </c>
      <c r="H662" s="5">
        <f t="shared" si="18"/>
        <v>45.358281250000005</v>
      </c>
      <c r="I662">
        <f>2/H662</f>
        <v>4.4093381514538753E-2</v>
      </c>
      <c r="J662">
        <v>0</v>
      </c>
      <c r="K662">
        <v>0</v>
      </c>
      <c r="L662">
        <v>0</v>
      </c>
      <c r="M662">
        <v>0</v>
      </c>
      <c r="N662">
        <f>2/H662</f>
        <v>4.4093381514538753E-2</v>
      </c>
      <c r="O662">
        <f>3/H662</f>
        <v>6.6140072271808126E-2</v>
      </c>
      <c r="P662">
        <f>2.5/H662</f>
        <v>5.5116726893173443E-2</v>
      </c>
    </row>
    <row r="663" spans="1:16" x14ac:dyDescent="0.25">
      <c r="A663" t="s">
        <v>174</v>
      </c>
      <c r="B663">
        <v>39.125999999999998</v>
      </c>
      <c r="C663">
        <v>-123.20099999999999</v>
      </c>
      <c r="D663" t="s">
        <v>2005</v>
      </c>
      <c r="E663" s="5">
        <v>1</v>
      </c>
      <c r="F663" s="7">
        <v>1</v>
      </c>
      <c r="G663">
        <f>19.4/2</f>
        <v>9.6999999999999993</v>
      </c>
      <c r="H663" s="5">
        <f t="shared" si="18"/>
        <v>36.930324999999996</v>
      </c>
      <c r="I663">
        <f>7/H663</f>
        <v>0.1895461250341014</v>
      </c>
      <c r="J663">
        <f>3*7/2/H663</f>
        <v>0.2843191875511521</v>
      </c>
      <c r="K663">
        <f>1.5/H663</f>
        <v>4.0617026793021725E-2</v>
      </c>
      <c r="L663">
        <f>2/H663</f>
        <v>5.4156035724028974E-2</v>
      </c>
      <c r="M663">
        <f>3/H663</f>
        <v>8.123405358604345E-2</v>
      </c>
      <c r="N663">
        <f>7/H663</f>
        <v>0.1895461250341014</v>
      </c>
      <c r="O663">
        <f>7/H663</f>
        <v>0.1895461250341014</v>
      </c>
      <c r="P663">
        <f>1.3*4/2/H663</f>
        <v>7.0402846441237663E-2</v>
      </c>
    </row>
    <row r="664" spans="1:16" x14ac:dyDescent="0.25">
      <c r="A664" t="s">
        <v>240</v>
      </c>
      <c r="B664" s="5">
        <v>39.130000000000003</v>
      </c>
      <c r="C664" s="5">
        <v>-75.465999999999994</v>
      </c>
      <c r="D664" s="5" t="s">
        <v>1667</v>
      </c>
      <c r="E664" s="5">
        <v>1</v>
      </c>
      <c r="F664" s="7">
        <v>0</v>
      </c>
      <c r="G664">
        <v>13</v>
      </c>
      <c r="H664" s="5">
        <f t="shared" si="18"/>
        <v>66.332499999999996</v>
      </c>
      <c r="I664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</row>
    <row r="665" spans="1:16" x14ac:dyDescent="0.25">
      <c r="A665" t="s">
        <v>223</v>
      </c>
      <c r="B665" s="5">
        <v>39.134</v>
      </c>
      <c r="C665" s="5">
        <v>-108.538</v>
      </c>
      <c r="D665" s="5" t="s">
        <v>1769</v>
      </c>
      <c r="E665">
        <v>1</v>
      </c>
      <c r="F665" s="7">
        <v>0</v>
      </c>
      <c r="G665" s="5">
        <f>23.2/2</f>
        <v>11.6</v>
      </c>
      <c r="H665" s="5">
        <f t="shared" si="18"/>
        <v>52.814799999999998</v>
      </c>
      <c r="I665" s="5">
        <v>0</v>
      </c>
      <c r="J665" s="5">
        <v>0</v>
      </c>
      <c r="K665" s="5">
        <v>0</v>
      </c>
      <c r="L665" s="5">
        <v>0</v>
      </c>
      <c r="M665" s="5">
        <f>5.5/H665</f>
        <v>0.10413747661640298</v>
      </c>
      <c r="N665" s="5">
        <f>2/H665</f>
        <v>3.7868173315055632E-2</v>
      </c>
      <c r="O665" s="5">
        <f>1/H665</f>
        <v>1.8934086657527816E-2</v>
      </c>
      <c r="P665" s="5">
        <v>0</v>
      </c>
    </row>
    <row r="666" spans="1:16" x14ac:dyDescent="0.25">
      <c r="A666" t="s">
        <v>154</v>
      </c>
      <c r="B666" s="5">
        <v>39.136000000000003</v>
      </c>
      <c r="C666" s="5">
        <v>-121.43600000000001</v>
      </c>
      <c r="D666" s="5" t="s">
        <v>1782</v>
      </c>
      <c r="E666" s="5">
        <v>1</v>
      </c>
      <c r="F666" s="7">
        <v>0</v>
      </c>
      <c r="G666">
        <f>24.7/2</f>
        <v>12.35</v>
      </c>
      <c r="H666" s="5">
        <f t="shared" si="18"/>
        <v>59.865081250000003</v>
      </c>
      <c r="I666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</row>
    <row r="667" spans="1:16" x14ac:dyDescent="0.25">
      <c r="A667" t="s">
        <v>411</v>
      </c>
      <c r="B667" s="5">
        <v>39.143999999999998</v>
      </c>
      <c r="C667" s="5">
        <v>-86.617000000000004</v>
      </c>
      <c r="D667" s="5" t="s">
        <v>1719</v>
      </c>
      <c r="E667" s="5">
        <v>1</v>
      </c>
      <c r="F667" s="7">
        <v>1</v>
      </c>
      <c r="G667">
        <f>21.5/2</f>
        <v>10.75</v>
      </c>
      <c r="H667" s="5">
        <f t="shared" si="18"/>
        <v>45.358281250000005</v>
      </c>
      <c r="I667">
        <f>0.4/H667</f>
        <v>8.818676302907752E-3</v>
      </c>
      <c r="J667">
        <v>0</v>
      </c>
      <c r="K667">
        <v>0</v>
      </c>
      <c r="L667">
        <v>0</v>
      </c>
      <c r="M667">
        <v>0</v>
      </c>
      <c r="N667">
        <f>2/H667</f>
        <v>4.4093381514538753E-2</v>
      </c>
      <c r="O667">
        <f>3*7/2/H667</f>
        <v>0.23149025295132847</v>
      </c>
      <c r="P667">
        <f>6*2.5/H667</f>
        <v>0.33070036135904068</v>
      </c>
    </row>
    <row r="668" spans="1:16" x14ac:dyDescent="0.25">
      <c r="A668" t="s">
        <v>485</v>
      </c>
      <c r="B668" s="5">
        <v>39.171999999999997</v>
      </c>
      <c r="C668" s="5">
        <v>-76.683999999999997</v>
      </c>
      <c r="D668" s="5" t="s">
        <v>1656</v>
      </c>
      <c r="E668">
        <v>1</v>
      </c>
      <c r="F668" s="7">
        <v>1</v>
      </c>
      <c r="G668">
        <v>11</v>
      </c>
      <c r="H668" s="5">
        <f t="shared" si="18"/>
        <v>47.4925</v>
      </c>
      <c r="I668">
        <f>7/H668</f>
        <v>0.14739169342527766</v>
      </c>
      <c r="J668">
        <f>1/H668</f>
        <v>2.1055956203611097E-2</v>
      </c>
      <c r="K668">
        <v>0</v>
      </c>
      <c r="L668">
        <f>1.5/H668</f>
        <v>3.1583934305416644E-2</v>
      </c>
      <c r="M668">
        <f>(H668-7*8/2)/H668</f>
        <v>0.41043322629888929</v>
      </c>
      <c r="N668">
        <f>0.5/H668</f>
        <v>1.0527978101805549E-2</v>
      </c>
      <c r="O668">
        <v>0</v>
      </c>
      <c r="P668">
        <v>0</v>
      </c>
    </row>
    <row r="669" spans="1:16" x14ac:dyDescent="0.25">
      <c r="A669" t="s">
        <v>209</v>
      </c>
      <c r="B669">
        <v>39.189</v>
      </c>
      <c r="C669">
        <v>-103.71599999999999</v>
      </c>
      <c r="D669" t="s">
        <v>1751</v>
      </c>
      <c r="E669" s="5">
        <v>1</v>
      </c>
      <c r="F669" s="7">
        <v>0</v>
      </c>
      <c r="G669">
        <v>10.25</v>
      </c>
      <c r="H669" s="5">
        <f t="shared" si="18"/>
        <v>41.237031250000001</v>
      </c>
      <c r="I669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</row>
    <row r="670" spans="1:16" x14ac:dyDescent="0.25">
      <c r="A670" t="s">
        <v>215</v>
      </c>
      <c r="B670" s="5">
        <v>39.222999999999999</v>
      </c>
      <c r="C670" s="5">
        <v>-106.86799999999999</v>
      </c>
      <c r="D670" s="5" t="s">
        <v>1756</v>
      </c>
      <c r="E670" s="5">
        <v>1</v>
      </c>
      <c r="F670" s="7">
        <v>1</v>
      </c>
      <c r="G670">
        <f>20.5/2</f>
        <v>10.25</v>
      </c>
      <c r="H670" s="5">
        <f t="shared" si="18"/>
        <v>41.237031250000001</v>
      </c>
      <c r="I670">
        <f>4/H670</f>
        <v>9.7000193242572474E-2</v>
      </c>
      <c r="J670">
        <f>6.5*4/2/H670</f>
        <v>0.31525062803836051</v>
      </c>
      <c r="K670">
        <f>4.5*3/2/H670</f>
        <v>0.16368782609684104</v>
      </c>
      <c r="L670">
        <f>3*1.5/2/H670</f>
        <v>5.4562608698947017E-2</v>
      </c>
      <c r="M670">
        <v>0</v>
      </c>
      <c r="N670">
        <f>5/H670</f>
        <v>0.12125024155321559</v>
      </c>
      <c r="O670">
        <v>0</v>
      </c>
      <c r="P670">
        <f>2/H670</f>
        <v>4.8500096621286237E-2</v>
      </c>
    </row>
    <row r="671" spans="1:16" x14ac:dyDescent="0.25">
      <c r="A671" t="s">
        <v>212</v>
      </c>
      <c r="B671" s="5">
        <v>39.228000000000002</v>
      </c>
      <c r="C671" s="5">
        <v>-106.316</v>
      </c>
      <c r="D671" s="5" t="s">
        <v>1753</v>
      </c>
      <c r="E671" s="5">
        <v>1</v>
      </c>
      <c r="F671" s="7">
        <v>1</v>
      </c>
      <c r="G671">
        <f>21.5/2</f>
        <v>10.75</v>
      </c>
      <c r="H671" s="5">
        <f t="shared" si="18"/>
        <v>45.358281250000005</v>
      </c>
      <c r="I671">
        <f>2/H671</f>
        <v>4.4093381514538753E-2</v>
      </c>
      <c r="J671" s="5">
        <f>8/H671</f>
        <v>0.17637352605815501</v>
      </c>
      <c r="K671" s="5">
        <f>(H671-3.5*4.5/2)/H671</f>
        <v>0.82638231028650366</v>
      </c>
      <c r="L671" s="5">
        <f>(H671-4*5/2)/H671</f>
        <v>0.77953309242730617</v>
      </c>
      <c r="M671" s="5">
        <v>0</v>
      </c>
      <c r="N671" s="5">
        <f>3.5*4/2/H671</f>
        <v>0.15432683530088565</v>
      </c>
      <c r="O671" s="5">
        <f>4.5*3/2/H671</f>
        <v>0.1488151626115683</v>
      </c>
      <c r="P671" s="5">
        <v>0</v>
      </c>
    </row>
    <row r="672" spans="1:16" x14ac:dyDescent="0.25">
      <c r="A672" t="s">
        <v>217</v>
      </c>
      <c r="B672" s="5">
        <v>39.244999999999997</v>
      </c>
      <c r="C672" s="5">
        <v>-102.28400000000001</v>
      </c>
      <c r="D672" s="5" t="s">
        <v>1758</v>
      </c>
      <c r="E672" s="5">
        <v>1</v>
      </c>
      <c r="F672" s="7">
        <v>1</v>
      </c>
      <c r="G672">
        <f>22.8/2</f>
        <v>11.4</v>
      </c>
      <c r="H672" s="5">
        <f t="shared" si="18"/>
        <v>51.009300000000003</v>
      </c>
      <c r="I672">
        <v>0</v>
      </c>
      <c r="J672">
        <v>0</v>
      </c>
      <c r="K672">
        <v>0</v>
      </c>
      <c r="L672">
        <v>0</v>
      </c>
      <c r="M672">
        <v>0</v>
      </c>
      <c r="N672" s="5">
        <v>0</v>
      </c>
      <c r="O672" s="5">
        <v>0</v>
      </c>
      <c r="P672" s="5">
        <f>2.5/H672</f>
        <v>4.9010670603203729E-2</v>
      </c>
    </row>
    <row r="673" spans="1:16" x14ac:dyDescent="0.25">
      <c r="A673" t="s">
        <v>407</v>
      </c>
      <c r="B673">
        <v>39.262</v>
      </c>
      <c r="C673">
        <v>-85.896000000000001</v>
      </c>
      <c r="D673" t="s">
        <v>1717</v>
      </c>
      <c r="E673" s="5">
        <v>1</v>
      </c>
      <c r="F673" s="7">
        <v>0</v>
      </c>
      <c r="G673">
        <f>23.5/2</f>
        <v>11.75</v>
      </c>
      <c r="H673" s="5">
        <f t="shared" si="18"/>
        <v>54.189531250000002</v>
      </c>
      <c r="I673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</row>
    <row r="674" spans="1:16" x14ac:dyDescent="0.25">
      <c r="A674" t="s">
        <v>171</v>
      </c>
      <c r="B674">
        <v>39.292000000000002</v>
      </c>
      <c r="C674">
        <v>-120.708</v>
      </c>
      <c r="D674" t="s">
        <v>1997</v>
      </c>
      <c r="E674" s="5">
        <v>1</v>
      </c>
      <c r="F674" s="7">
        <v>0</v>
      </c>
      <c r="G674">
        <f>21.3/2</f>
        <v>10.65</v>
      </c>
      <c r="H674" s="5">
        <f t="shared" si="18"/>
        <v>44.518331250000003</v>
      </c>
      <c r="I674">
        <f>3.5*6/2/H674</f>
        <v>0.23585789730157505</v>
      </c>
      <c r="J674">
        <f>(H674-6)/H674</f>
        <v>0.86522405868481422</v>
      </c>
      <c r="K674">
        <f>(H674-3)/H674</f>
        <v>0.93261202934240717</v>
      </c>
      <c r="L674">
        <f>8.5*7/2/H674</f>
        <v>0.66826404235446268</v>
      </c>
      <c r="M674">
        <f>4*5.5/2/H674</f>
        <v>0.2470892257445072</v>
      </c>
      <c r="N674">
        <f>9*6.5/2/H674</f>
        <v>0.65703271391153051</v>
      </c>
      <c r="O674">
        <f>10*7/2/H674</f>
        <v>0.7861929910052502</v>
      </c>
      <c r="P674">
        <f>5*8/2/H674</f>
        <v>0.44925313771728581</v>
      </c>
    </row>
    <row r="675" spans="1:16" x14ac:dyDescent="0.25">
      <c r="A675" t="s">
        <v>746</v>
      </c>
      <c r="B675">
        <v>39.295000000000002</v>
      </c>
      <c r="C675">
        <v>-114.845</v>
      </c>
      <c r="D675" t="s">
        <v>1788</v>
      </c>
      <c r="E675" s="5">
        <v>1</v>
      </c>
      <c r="F675" s="7">
        <v>0</v>
      </c>
      <c r="G675">
        <v>9.5</v>
      </c>
      <c r="H675" s="5">
        <f t="shared" si="18"/>
        <v>35.423124999999999</v>
      </c>
      <c r="I675">
        <v>0</v>
      </c>
      <c r="J675" s="5">
        <v>0</v>
      </c>
      <c r="K675" s="5">
        <v>0</v>
      </c>
      <c r="L675" s="5">
        <f>0.5/H675</f>
        <v>1.4115073133722674E-2</v>
      </c>
      <c r="M675">
        <v>0</v>
      </c>
      <c r="N675" s="5">
        <v>0</v>
      </c>
      <c r="O675" s="5">
        <v>0</v>
      </c>
      <c r="P675" s="5">
        <v>0</v>
      </c>
    </row>
    <row r="676" spans="1:16" x14ac:dyDescent="0.25">
      <c r="A676" t="s">
        <v>1159</v>
      </c>
      <c r="B676" s="5">
        <v>39.295999999999999</v>
      </c>
      <c r="C676" s="5">
        <v>-80.228999999999999</v>
      </c>
      <c r="D676" s="5" t="s">
        <v>1684</v>
      </c>
      <c r="E676" s="5">
        <v>1</v>
      </c>
      <c r="F676" s="7">
        <v>1</v>
      </c>
      <c r="G676">
        <v>10</v>
      </c>
      <c r="H676" s="5">
        <f t="shared" si="18"/>
        <v>39.25</v>
      </c>
      <c r="I676">
        <v>0</v>
      </c>
      <c r="J676">
        <v>0</v>
      </c>
      <c r="K676">
        <f>0.4/H676</f>
        <v>1.0191082802547772E-2</v>
      </c>
      <c r="L676">
        <f>3*1.8/H676</f>
        <v>0.1375796178343949</v>
      </c>
      <c r="M676">
        <f>2.5*2.5/H676</f>
        <v>0.15923566878980891</v>
      </c>
      <c r="N676">
        <v>0</v>
      </c>
      <c r="O676">
        <f>2*3/H676</f>
        <v>0.15286624203821655</v>
      </c>
      <c r="P676">
        <f>0.5/H676</f>
        <v>1.2738853503184714E-2</v>
      </c>
    </row>
    <row r="677" spans="1:16" x14ac:dyDescent="0.25">
      <c r="A677" t="s">
        <v>580</v>
      </c>
      <c r="B677" s="5">
        <v>39.298999999999999</v>
      </c>
      <c r="C677" s="5">
        <v>-94.718000000000004</v>
      </c>
      <c r="D677" s="5" t="s">
        <v>1735</v>
      </c>
      <c r="E677" s="5">
        <v>1</v>
      </c>
      <c r="F677" s="7">
        <v>1</v>
      </c>
      <c r="G677">
        <f>22.5/2</f>
        <v>11.25</v>
      </c>
      <c r="H677" s="5">
        <f t="shared" si="18"/>
        <v>49.675781250000007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x14ac:dyDescent="0.25">
      <c r="A678" t="s">
        <v>172</v>
      </c>
      <c r="B678">
        <v>39.32</v>
      </c>
      <c r="C678">
        <v>-120.134</v>
      </c>
      <c r="D678" t="s">
        <v>1998</v>
      </c>
      <c r="E678" s="5">
        <v>1</v>
      </c>
      <c r="F678" s="7">
        <v>0</v>
      </c>
      <c r="G678">
        <v>11.5</v>
      </c>
      <c r="H678" s="5">
        <f>3.14*G678*G678/8</f>
        <v>51.908124999999998</v>
      </c>
      <c r="I678">
        <v>0</v>
      </c>
      <c r="J678">
        <v>0</v>
      </c>
      <c r="K678">
        <v>0</v>
      </c>
      <c r="L678">
        <v>0</v>
      </c>
      <c r="M678">
        <v>0</v>
      </c>
      <c r="N678">
        <f>4/H678</f>
        <v>7.7059227240436831E-2</v>
      </c>
      <c r="O678">
        <f>2/H678</f>
        <v>3.8529613620218416E-2</v>
      </c>
      <c r="P678">
        <v>0</v>
      </c>
    </row>
    <row r="679" spans="1:16" x14ac:dyDescent="0.25">
      <c r="A679" t="s">
        <v>488</v>
      </c>
      <c r="B679">
        <v>39.326000000000001</v>
      </c>
      <c r="C679">
        <v>-76.400999999999996</v>
      </c>
      <c r="D679" t="s">
        <v>1659</v>
      </c>
      <c r="E679" s="5">
        <v>1</v>
      </c>
      <c r="F679" s="7">
        <v>0</v>
      </c>
      <c r="G679">
        <f>22.2/2</f>
        <v>11.1</v>
      </c>
      <c r="H679" s="5">
        <f t="shared" si="18"/>
        <v>48.359924999999997</v>
      </c>
      <c r="I679">
        <f>1/H679</f>
        <v>2.0678278553988662E-2</v>
      </c>
      <c r="J679">
        <f>6*7.5/2/H679</f>
        <v>0.46526126746474483</v>
      </c>
      <c r="K679">
        <f>4*5.5/2/H679</f>
        <v>0.22746106409387526</v>
      </c>
      <c r="L679">
        <f>1.3/H679</f>
        <v>2.6881762120185258E-2</v>
      </c>
      <c r="M679">
        <f>7*5.5/2/H679</f>
        <v>0.39805686216428171</v>
      </c>
      <c r="N679">
        <f>3*1.7/H679</f>
        <v>0.10545922062534216</v>
      </c>
      <c r="O679">
        <f>2/H679</f>
        <v>4.1356557107977324E-2</v>
      </c>
      <c r="P679">
        <v>0</v>
      </c>
    </row>
    <row r="680" spans="1:16" x14ac:dyDescent="0.25">
      <c r="A680" t="s">
        <v>811</v>
      </c>
      <c r="B680">
        <v>39.363999999999997</v>
      </c>
      <c r="C680">
        <v>-84.525000000000006</v>
      </c>
      <c r="D680" t="s">
        <v>1883</v>
      </c>
      <c r="E680" s="5">
        <v>1</v>
      </c>
      <c r="F680" s="7">
        <v>1</v>
      </c>
      <c r="G680">
        <f>19.5/2</f>
        <v>9.75</v>
      </c>
      <c r="H680" s="5">
        <f t="shared" si="18"/>
        <v>37.312031250000004</v>
      </c>
      <c r="I680">
        <v>0</v>
      </c>
      <c r="J680">
        <v>0</v>
      </c>
      <c r="K680">
        <v>0</v>
      </c>
      <c r="L680">
        <f>2.5/H680</f>
        <v>6.7002516782036614E-2</v>
      </c>
      <c r="M680">
        <f>8*5.5/2/H680</f>
        <v>0.58962214768192223</v>
      </c>
      <c r="N680">
        <f>2/H680</f>
        <v>5.3602013425629293E-2</v>
      </c>
      <c r="O680">
        <f>1.5*2/H680</f>
        <v>8.0403020138443942E-2</v>
      </c>
      <c r="P680">
        <v>0</v>
      </c>
    </row>
    <row r="681" spans="1:16" x14ac:dyDescent="0.25">
      <c r="A681" t="s">
        <v>697</v>
      </c>
      <c r="B681" s="5">
        <v>39.366</v>
      </c>
      <c r="C681" s="5">
        <v>-75.078000000000003</v>
      </c>
      <c r="D681" t="s">
        <v>1662</v>
      </c>
      <c r="E681" s="5">
        <v>1</v>
      </c>
      <c r="F681" s="7">
        <v>1</v>
      </c>
      <c r="G681">
        <f>23.3/2</f>
        <v>11.65</v>
      </c>
      <c r="H681" s="5">
        <f t="shared" si="18"/>
        <v>53.271081250000009</v>
      </c>
      <c r="I681">
        <f>6.5*6.5/2/H681</f>
        <v>0.396556621422059</v>
      </c>
      <c r="J681" s="5">
        <v>0</v>
      </c>
      <c r="K681" s="5">
        <v>0</v>
      </c>
      <c r="L681" s="5">
        <v>0</v>
      </c>
      <c r="M681" s="5">
        <f>5*11/2/H681</f>
        <v>0.51622755451392299</v>
      </c>
      <c r="N681" s="5">
        <f>9*5.5/2/H681</f>
        <v>0.46460479906253066</v>
      </c>
      <c r="O681" s="5">
        <v>0</v>
      </c>
      <c r="P681" s="5">
        <f>6*5/2/H681</f>
        <v>0.28157866609850346</v>
      </c>
    </row>
    <row r="682" spans="1:16" x14ac:dyDescent="0.25">
      <c r="A682" t="s">
        <v>1161</v>
      </c>
      <c r="B682" s="5">
        <v>39.402000000000001</v>
      </c>
      <c r="C682" s="5">
        <v>-77.983999999999995</v>
      </c>
      <c r="D682" s="5" t="s">
        <v>1686</v>
      </c>
      <c r="E682" s="5">
        <v>1</v>
      </c>
      <c r="F682" s="7">
        <v>1</v>
      </c>
      <c r="G682">
        <f>24.6/2</f>
        <v>12.3</v>
      </c>
      <c r="H682" s="5">
        <f t="shared" si="18"/>
        <v>59.381325000000011</v>
      </c>
      <c r="I682">
        <f>4*2.5/2/H682</f>
        <v>8.4201556634177485E-2</v>
      </c>
      <c r="J682">
        <v>0</v>
      </c>
      <c r="K682">
        <f>6.5*4.5/2/H682</f>
        <v>0.24628955315496914</v>
      </c>
      <c r="L682">
        <f>4*4/H682</f>
        <v>0.26944498122936794</v>
      </c>
      <c r="M682">
        <f>3.5/H682</f>
        <v>5.8941089643924235E-2</v>
      </c>
      <c r="N682">
        <f>8.5*5.5/2/H682</f>
        <v>0.39364227726477974</v>
      </c>
      <c r="O682">
        <v>0</v>
      </c>
      <c r="P682">
        <f>2.5*5.5/2/H682</f>
        <v>0.11577714037199403</v>
      </c>
    </row>
    <row r="683" spans="1:16" x14ac:dyDescent="0.25">
      <c r="A683" t="s">
        <v>749</v>
      </c>
      <c r="B683">
        <v>39.417000000000002</v>
      </c>
      <c r="C683">
        <v>-118.7</v>
      </c>
      <c r="D683" t="s">
        <v>1791</v>
      </c>
      <c r="E683" s="5">
        <v>1</v>
      </c>
      <c r="F683" s="7">
        <v>0</v>
      </c>
      <c r="G683">
        <v>11.1</v>
      </c>
      <c r="H683" s="5">
        <f t="shared" si="18"/>
        <v>48.359924999999997</v>
      </c>
      <c r="I683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</row>
    <row r="684" spans="1:16" x14ac:dyDescent="0.25">
      <c r="A684" t="s">
        <v>803</v>
      </c>
      <c r="B684">
        <v>39.42</v>
      </c>
      <c r="C684">
        <v>-83.822000000000003</v>
      </c>
      <c r="D684" t="s">
        <v>1705</v>
      </c>
      <c r="E684" s="5">
        <v>1</v>
      </c>
      <c r="F684" s="7">
        <v>1</v>
      </c>
      <c r="G684">
        <v>11</v>
      </c>
      <c r="H684" s="5">
        <f t="shared" si="18"/>
        <v>47.4925</v>
      </c>
      <c r="I684">
        <v>0</v>
      </c>
      <c r="J684">
        <f>3*9.5/2/H684</f>
        <v>0.30004737590145814</v>
      </c>
      <c r="K684">
        <f>2/H684</f>
        <v>4.2111912407222195E-2</v>
      </c>
      <c r="L684">
        <f>2.5/H684</f>
        <v>5.2639890509027738E-2</v>
      </c>
      <c r="M684">
        <f>3.5/H684</f>
        <v>7.3695846712638832E-2</v>
      </c>
      <c r="N684">
        <v>0</v>
      </c>
      <c r="O684" s="5">
        <v>0</v>
      </c>
      <c r="P684">
        <v>0</v>
      </c>
    </row>
    <row r="685" spans="1:16" x14ac:dyDescent="0.25">
      <c r="A685" t="s">
        <v>409</v>
      </c>
      <c r="B685" s="1">
        <v>39.450000000000003</v>
      </c>
      <c r="C685" s="1">
        <v>-87.3</v>
      </c>
      <c r="D685" s="1" t="s">
        <v>2314</v>
      </c>
      <c r="E685" s="5">
        <v>1</v>
      </c>
      <c r="F685" s="8">
        <v>0</v>
      </c>
      <c r="G685" s="5">
        <f t="shared" ref="G685:G686" si="19">20.8/2</f>
        <v>10.4</v>
      </c>
      <c r="H685" s="5">
        <f t="shared" ref="H685:H686" si="20">3.14*G685*G685/8</f>
        <v>42.452800000000011</v>
      </c>
      <c r="I685" s="5">
        <v>0</v>
      </c>
      <c r="J685" s="5">
        <f>3.5/H685</f>
        <v>8.2444503071646608E-2</v>
      </c>
      <c r="K685" s="5">
        <f>5/H685</f>
        <v>0.11777786153092372</v>
      </c>
      <c r="L685" s="5">
        <v>0</v>
      </c>
      <c r="M685" s="5">
        <f>0.5/H685</f>
        <v>1.1777786153092372E-2</v>
      </c>
      <c r="N685" s="5">
        <f>0.7/H685</f>
        <v>1.6488900614329321E-2</v>
      </c>
      <c r="O685" s="5">
        <v>0</v>
      </c>
      <c r="P685" s="5">
        <v>0</v>
      </c>
    </row>
    <row r="686" spans="1:16" x14ac:dyDescent="0.25">
      <c r="A686" t="s">
        <v>410</v>
      </c>
      <c r="B686" s="1">
        <v>39.450000000000003</v>
      </c>
      <c r="C686" s="1">
        <v>-87.3</v>
      </c>
      <c r="D686" s="1" t="s">
        <v>2314</v>
      </c>
      <c r="E686" s="5">
        <v>1</v>
      </c>
      <c r="F686" s="8">
        <v>0</v>
      </c>
      <c r="G686" s="5">
        <f t="shared" si="19"/>
        <v>10.4</v>
      </c>
      <c r="H686" s="5">
        <f t="shared" si="20"/>
        <v>42.452800000000011</v>
      </c>
      <c r="I686" s="5">
        <v>0</v>
      </c>
      <c r="J686" s="5">
        <f>3.5/H686</f>
        <v>8.2444503071646608E-2</v>
      </c>
      <c r="K686" s="5">
        <f>5/H686</f>
        <v>0.11777786153092372</v>
      </c>
      <c r="L686" s="5">
        <v>0</v>
      </c>
      <c r="M686" s="5">
        <f>0.5/H686</f>
        <v>1.1777786153092372E-2</v>
      </c>
      <c r="N686" s="5">
        <f>0.7/H686</f>
        <v>1.6488900614329321E-2</v>
      </c>
      <c r="O686" s="5">
        <v>0</v>
      </c>
      <c r="P686" s="5">
        <v>0</v>
      </c>
    </row>
    <row r="687" spans="1:16" x14ac:dyDescent="0.25">
      <c r="A687" t="s">
        <v>408</v>
      </c>
      <c r="B687" s="1">
        <v>39.450000000000003</v>
      </c>
      <c r="C687" s="1">
        <v>-87.3</v>
      </c>
      <c r="D687" s="1" t="s">
        <v>1718</v>
      </c>
      <c r="E687" s="5">
        <v>1</v>
      </c>
      <c r="F687" s="8">
        <v>0</v>
      </c>
      <c r="G687">
        <f>20.8/2</f>
        <v>10.4</v>
      </c>
      <c r="H687" s="5">
        <f t="shared" si="18"/>
        <v>42.452800000000011</v>
      </c>
      <c r="I687">
        <v>0</v>
      </c>
      <c r="J687">
        <f>3.5/H687</f>
        <v>8.2444503071646608E-2</v>
      </c>
      <c r="K687">
        <f>5/H687</f>
        <v>0.11777786153092372</v>
      </c>
      <c r="L687">
        <v>0</v>
      </c>
      <c r="M687">
        <f>0.5/H687</f>
        <v>1.1777786153092372E-2</v>
      </c>
      <c r="N687">
        <f>0.7/H687</f>
        <v>1.6488900614329321E-2</v>
      </c>
      <c r="O687">
        <v>0</v>
      </c>
      <c r="P687">
        <v>0</v>
      </c>
    </row>
    <row r="688" spans="1:16" x14ac:dyDescent="0.25">
      <c r="A688" t="s">
        <v>695</v>
      </c>
      <c r="B688">
        <v>39.457999999999998</v>
      </c>
      <c r="C688">
        <v>-74.576999999999998</v>
      </c>
      <c r="D688" t="s">
        <v>1660</v>
      </c>
      <c r="E688">
        <v>1</v>
      </c>
      <c r="F688" s="8">
        <v>1</v>
      </c>
      <c r="G688">
        <v>10.5</v>
      </c>
      <c r="H688" s="5">
        <f>3.14*G688*G688/8</f>
        <v>43.273125</v>
      </c>
      <c r="I688">
        <v>0</v>
      </c>
      <c r="J688" s="5">
        <v>0</v>
      </c>
      <c r="K688" s="5">
        <v>0</v>
      </c>
      <c r="L688" s="5">
        <f>3.5*2/2/H688</f>
        <v>8.0881609544029925E-2</v>
      </c>
      <c r="M688" s="5">
        <f>(H688-6*7.5/2)/H688</f>
        <v>0.48004679578837905</v>
      </c>
      <c r="N688" s="5">
        <f>4*4.5/2/H688</f>
        <v>0.20798128168464838</v>
      </c>
      <c r="O688" s="5">
        <f>7*4/2/H688</f>
        <v>0.3235264381761197</v>
      </c>
      <c r="P688" s="5">
        <v>0</v>
      </c>
    </row>
    <row r="689" spans="1:16" x14ac:dyDescent="0.25">
      <c r="A689" t="s">
        <v>395</v>
      </c>
      <c r="B689" s="5">
        <v>39.478000000000002</v>
      </c>
      <c r="C689" s="5">
        <v>-88.28</v>
      </c>
      <c r="D689" s="5" t="s">
        <v>1906</v>
      </c>
      <c r="E689" s="5">
        <v>1</v>
      </c>
      <c r="F689" s="8">
        <v>1</v>
      </c>
      <c r="G689">
        <f>26.3/2</f>
        <v>13.15</v>
      </c>
      <c r="H689" s="5">
        <f>3.14*G689*G689/8</f>
        <v>67.872081250000008</v>
      </c>
      <c r="I689">
        <v>0</v>
      </c>
      <c r="J689">
        <v>0</v>
      </c>
      <c r="K689">
        <v>0</v>
      </c>
      <c r="L689">
        <v>0</v>
      </c>
      <c r="M689">
        <v>0</v>
      </c>
      <c r="N689" s="5">
        <f>5.5*8.5/2/H689</f>
        <v>0.34439786683276341</v>
      </c>
      <c r="O689" s="5">
        <f>5.5*7/2/H689</f>
        <v>0.28362177268580513</v>
      </c>
      <c r="P689" s="5">
        <v>0</v>
      </c>
    </row>
    <row r="690" spans="1:16" x14ac:dyDescent="0.25">
      <c r="A690" t="s">
        <v>748</v>
      </c>
      <c r="B690" s="5">
        <v>39.484000000000002</v>
      </c>
      <c r="C690" s="5">
        <v>-119.771</v>
      </c>
      <c r="D690" s="5" t="s">
        <v>1790</v>
      </c>
      <c r="E690" s="5">
        <v>1</v>
      </c>
      <c r="F690" s="7">
        <v>0</v>
      </c>
      <c r="G690">
        <f>25.2/2</f>
        <v>12.6</v>
      </c>
      <c r="H690" s="5">
        <f t="shared" ref="H690:H752" si="21">3.14*G690*G690/8</f>
        <v>62.313299999999998</v>
      </c>
      <c r="I690">
        <f>0.5/H690</f>
        <v>8.0239692007966195E-3</v>
      </c>
      <c r="J690" s="5">
        <v>0</v>
      </c>
      <c r="K690" s="5">
        <f>2.5/H690</f>
        <v>4.0119846003983099E-2</v>
      </c>
      <c r="L690" s="5">
        <f>0.3/H690</f>
        <v>4.8143815204779719E-3</v>
      </c>
      <c r="M690" s="5">
        <v>0</v>
      </c>
      <c r="N690" s="5">
        <f>2.5*5.5/2/H690</f>
        <v>0.11032957651095353</v>
      </c>
      <c r="O690">
        <f>3*9/2/H690</f>
        <v>0.21664716842150875</v>
      </c>
      <c r="P690" s="5">
        <f>4/H690</f>
        <v>6.4191753606372956E-2</v>
      </c>
    </row>
    <row r="691" spans="1:16" x14ac:dyDescent="0.25">
      <c r="A691" t="s">
        <v>184</v>
      </c>
      <c r="B691" s="5">
        <v>39.49</v>
      </c>
      <c r="C691" s="5">
        <v>-121.61799999999999</v>
      </c>
      <c r="D691" s="5" t="s">
        <v>2244</v>
      </c>
      <c r="E691" s="5">
        <v>1</v>
      </c>
      <c r="F691" s="7">
        <v>1</v>
      </c>
      <c r="G691">
        <f>20.5/2</f>
        <v>10.25</v>
      </c>
      <c r="H691" s="5">
        <f t="shared" si="21"/>
        <v>41.237031250000001</v>
      </c>
      <c r="I691">
        <f>1.5/H691</f>
        <v>3.6375072465964678E-2</v>
      </c>
      <c r="J691">
        <v>0</v>
      </c>
      <c r="K691" s="5">
        <v>0</v>
      </c>
      <c r="L691" s="5">
        <v>0</v>
      </c>
      <c r="M691" s="5">
        <v>0</v>
      </c>
      <c r="N691" s="5">
        <f>1.5/H691</f>
        <v>3.6375072465964678E-2</v>
      </c>
      <c r="O691" s="5">
        <f>3/H691</f>
        <v>7.2750144931929356E-2</v>
      </c>
      <c r="P691">
        <f>4/H691</f>
        <v>9.7000193242572474E-2</v>
      </c>
    </row>
    <row r="692" spans="1:16" x14ac:dyDescent="0.25">
      <c r="A692" t="s">
        <v>229</v>
      </c>
      <c r="B692">
        <v>39.526000000000003</v>
      </c>
      <c r="C692">
        <v>-107.726</v>
      </c>
      <c r="D692" t="s">
        <v>1978</v>
      </c>
      <c r="E692" s="5">
        <v>1</v>
      </c>
      <c r="F692" s="8">
        <v>0</v>
      </c>
      <c r="G692">
        <f>20.5/2</f>
        <v>10.25</v>
      </c>
      <c r="H692" s="5">
        <f t="shared" si="21"/>
        <v>41.237031250000001</v>
      </c>
      <c r="I692">
        <f>2/H692</f>
        <v>4.8500096621286237E-2</v>
      </c>
      <c r="J692">
        <v>0</v>
      </c>
      <c r="K692">
        <v>0</v>
      </c>
      <c r="L692">
        <f>4*1.3/2/H692</f>
        <v>6.3050125607672106E-2</v>
      </c>
      <c r="M692">
        <f>1/H692</f>
        <v>2.4250048310643119E-2</v>
      </c>
      <c r="N692" s="5">
        <f>0.3/H692</f>
        <v>7.2750144931929351E-3</v>
      </c>
      <c r="O692" s="5">
        <v>0</v>
      </c>
      <c r="P692" s="5">
        <f>1.5/H692</f>
        <v>3.6375072465964678E-2</v>
      </c>
    </row>
    <row r="693" spans="1:16" x14ac:dyDescent="0.25">
      <c r="A693" t="s">
        <v>1049</v>
      </c>
      <c r="B693">
        <v>39.545000000000002</v>
      </c>
      <c r="C693">
        <v>-110.75</v>
      </c>
      <c r="D693" t="s">
        <v>1764</v>
      </c>
      <c r="E693" s="5">
        <v>1</v>
      </c>
      <c r="F693" s="7">
        <v>0</v>
      </c>
      <c r="G693">
        <f>20.7/2</f>
        <v>10.35</v>
      </c>
      <c r="H693" s="5">
        <f t="shared" si="21"/>
        <v>42.045581250000005</v>
      </c>
      <c r="I693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</row>
    <row r="694" spans="1:16" x14ac:dyDescent="0.25">
      <c r="A694" t="s">
        <v>210</v>
      </c>
      <c r="B694" s="5">
        <v>39.57</v>
      </c>
      <c r="C694" s="5">
        <v>-104.849</v>
      </c>
      <c r="D694" s="5" t="s">
        <v>1752</v>
      </c>
      <c r="E694" s="5">
        <v>1</v>
      </c>
      <c r="F694" s="8">
        <v>1</v>
      </c>
      <c r="G694">
        <f>19/2</f>
        <v>9.5</v>
      </c>
      <c r="H694" s="5">
        <f t="shared" si="21"/>
        <v>35.423124999999999</v>
      </c>
      <c r="I694">
        <f>2.5/H694</f>
        <v>7.0575365668613374E-2</v>
      </c>
      <c r="J694">
        <f>8/H694</f>
        <v>0.22584117013956279</v>
      </c>
      <c r="K694">
        <f>1/H694</f>
        <v>2.8230146267445348E-2</v>
      </c>
      <c r="L694">
        <f>4/H694</f>
        <v>0.11292058506978139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t="s">
        <v>406</v>
      </c>
      <c r="B695">
        <v>39.578000000000003</v>
      </c>
      <c r="C695">
        <v>-85.802999999999997</v>
      </c>
      <c r="D695" t="s">
        <v>1716</v>
      </c>
      <c r="E695" s="5">
        <v>1</v>
      </c>
      <c r="F695" s="8">
        <v>0</v>
      </c>
      <c r="G695">
        <f>22.5/2</f>
        <v>11.25</v>
      </c>
      <c r="H695" s="5">
        <f t="shared" si="21"/>
        <v>49.675781250000007</v>
      </c>
      <c r="I695">
        <v>0</v>
      </c>
      <c r="J695">
        <f>1/H695</f>
        <v>2.0130533930958556E-2</v>
      </c>
      <c r="K695">
        <f>0.4/H695</f>
        <v>8.0522135723834227E-3</v>
      </c>
      <c r="L695">
        <f>0.8/H695</f>
        <v>1.6104427144766845E-2</v>
      </c>
      <c r="M695">
        <v>0</v>
      </c>
      <c r="N695" s="5">
        <v>0</v>
      </c>
      <c r="O695" s="5">
        <v>0</v>
      </c>
      <c r="P695" s="5">
        <v>0</v>
      </c>
    </row>
    <row r="696" spans="1:16" x14ac:dyDescent="0.25">
      <c r="A696" t="s">
        <v>794</v>
      </c>
      <c r="B696">
        <v>39.594000000000001</v>
      </c>
      <c r="C696">
        <v>-84.225999999999999</v>
      </c>
      <c r="D696" t="s">
        <v>1696</v>
      </c>
      <c r="E696" s="5">
        <v>1</v>
      </c>
      <c r="F696" s="8">
        <v>1</v>
      </c>
      <c r="G696">
        <v>11</v>
      </c>
      <c r="H696" s="5">
        <f t="shared" si="21"/>
        <v>47.4925</v>
      </c>
      <c r="I696">
        <v>0</v>
      </c>
      <c r="J696">
        <v>0</v>
      </c>
      <c r="K696">
        <v>0</v>
      </c>
      <c r="L696">
        <f>3/H696</f>
        <v>6.3167868610833289E-2</v>
      </c>
      <c r="M696">
        <v>0</v>
      </c>
      <c r="N696">
        <f>3*3.2/H696</f>
        <v>0.20213717955466656</v>
      </c>
      <c r="O696">
        <f>2.8*3.5/H696</f>
        <v>0.20634837079538873</v>
      </c>
      <c r="P696">
        <f>3/H696</f>
        <v>6.3167868610833289E-2</v>
      </c>
    </row>
    <row r="697" spans="1:16" x14ac:dyDescent="0.25">
      <c r="A697" t="s">
        <v>751</v>
      </c>
      <c r="B697">
        <v>39.600999999999999</v>
      </c>
      <c r="C697">
        <v>-116.006</v>
      </c>
      <c r="D697" t="s">
        <v>1993</v>
      </c>
      <c r="E697" s="5">
        <v>1</v>
      </c>
      <c r="F697" s="8">
        <v>1</v>
      </c>
      <c r="G697">
        <v>12.5</v>
      </c>
      <c r="H697" s="5">
        <f t="shared" si="21"/>
        <v>61.328125</v>
      </c>
      <c r="I697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</row>
    <row r="698" spans="1:16" x14ac:dyDescent="0.25">
      <c r="A698" t="s">
        <v>214</v>
      </c>
      <c r="B698">
        <v>39.643000000000001</v>
      </c>
      <c r="C698">
        <v>-106.91800000000001</v>
      </c>
      <c r="D698" t="s">
        <v>1755</v>
      </c>
      <c r="E698" s="5">
        <v>1</v>
      </c>
      <c r="F698" s="8">
        <v>0</v>
      </c>
      <c r="G698">
        <f>23.2/2</f>
        <v>11.6</v>
      </c>
      <c r="H698" s="5">
        <f t="shared" si="21"/>
        <v>52.814799999999998</v>
      </c>
      <c r="I698">
        <v>0</v>
      </c>
      <c r="J698" s="5">
        <v>0</v>
      </c>
      <c r="K698" s="5">
        <v>0</v>
      </c>
      <c r="L698" s="5">
        <f>1/H698</f>
        <v>1.8934086657527816E-2</v>
      </c>
      <c r="M698" s="5">
        <v>0</v>
      </c>
      <c r="N698" s="5">
        <v>0</v>
      </c>
      <c r="O698" s="5">
        <v>0</v>
      </c>
      <c r="P698" s="5">
        <v>0</v>
      </c>
    </row>
    <row r="699" spans="1:16" x14ac:dyDescent="0.25">
      <c r="A699" t="s">
        <v>1160</v>
      </c>
      <c r="B699">
        <v>39.643000000000001</v>
      </c>
      <c r="C699">
        <v>-79.915999999999997</v>
      </c>
      <c r="D699" t="s">
        <v>1685</v>
      </c>
      <c r="E699" s="5">
        <v>1</v>
      </c>
      <c r="F699" s="8">
        <v>0</v>
      </c>
      <c r="G699">
        <f>19.6/2</f>
        <v>9.8000000000000007</v>
      </c>
      <c r="H699" s="5">
        <f t="shared" si="21"/>
        <v>37.695700000000002</v>
      </c>
      <c r="I699">
        <f>3*8.5/2/H699</f>
        <v>0.33823486498460037</v>
      </c>
      <c r="J699">
        <f>6.5*8.5/2/H699</f>
        <v>0.73284220746663409</v>
      </c>
      <c r="K699">
        <f>3/H699</f>
        <v>7.9584674114023604E-2</v>
      </c>
      <c r="L699">
        <f>6.5*3/2/H699</f>
        <v>0.25865019087057672</v>
      </c>
      <c r="M699">
        <f>1/H699</f>
        <v>2.6528224704674537E-2</v>
      </c>
      <c r="N699">
        <v>0</v>
      </c>
      <c r="O699">
        <f>6/H699</f>
        <v>0.15916934822804721</v>
      </c>
      <c r="P699">
        <f>2/H699</f>
        <v>5.3056449409349074E-2</v>
      </c>
    </row>
    <row r="700" spans="1:16" x14ac:dyDescent="0.25">
      <c r="A700" t="s">
        <v>241</v>
      </c>
      <c r="B700">
        <v>39.673000000000002</v>
      </c>
      <c r="C700">
        <v>-75.600999999999999</v>
      </c>
      <c r="D700" t="s">
        <v>1668</v>
      </c>
      <c r="E700" s="5">
        <v>1</v>
      </c>
      <c r="F700" s="8">
        <v>1</v>
      </c>
      <c r="G700">
        <v>11</v>
      </c>
      <c r="H700" s="5">
        <f t="shared" si="21"/>
        <v>47.4925</v>
      </c>
      <c r="I700">
        <v>0</v>
      </c>
      <c r="J700">
        <v>0</v>
      </c>
      <c r="K700">
        <v>0</v>
      </c>
      <c r="L700" s="5">
        <v>0</v>
      </c>
      <c r="M700" s="5">
        <v>0</v>
      </c>
      <c r="N700" s="5">
        <f>3.5/H700</f>
        <v>7.3695846712638832E-2</v>
      </c>
      <c r="O700" s="5">
        <v>0</v>
      </c>
      <c r="P700" s="5">
        <v>0</v>
      </c>
    </row>
    <row r="701" spans="1:16" x14ac:dyDescent="0.25">
      <c r="A701" t="s">
        <v>219</v>
      </c>
      <c r="B701">
        <v>39.701999999999998</v>
      </c>
      <c r="C701">
        <v>-104.752</v>
      </c>
      <c r="D701" t="s">
        <v>1760</v>
      </c>
      <c r="E701" s="5">
        <v>1</v>
      </c>
      <c r="F701" s="7">
        <v>0</v>
      </c>
      <c r="G701">
        <v>10</v>
      </c>
      <c r="H701" s="5">
        <f t="shared" si="21"/>
        <v>39.25</v>
      </c>
      <c r="I701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</row>
    <row r="702" spans="1:16" x14ac:dyDescent="0.25">
      <c r="A702" t="s">
        <v>487</v>
      </c>
      <c r="B702" s="5">
        <v>39.707999999999998</v>
      </c>
      <c r="C702" s="5">
        <v>-77.73</v>
      </c>
      <c r="D702" s="5" t="s">
        <v>1658</v>
      </c>
      <c r="E702" s="5">
        <v>1</v>
      </c>
      <c r="F702" s="8">
        <v>1</v>
      </c>
      <c r="G702">
        <f>22.5/2</f>
        <v>11.25</v>
      </c>
      <c r="H702" s="5">
        <f t="shared" si="21"/>
        <v>49.675781250000007</v>
      </c>
      <c r="I702">
        <v>0</v>
      </c>
      <c r="J702">
        <v>0</v>
      </c>
      <c r="K702">
        <f>3*4.5/2/H702</f>
        <v>0.13588110403397025</v>
      </c>
      <c r="L702">
        <f>3.5*5/2/H702</f>
        <v>0.17614217189588738</v>
      </c>
      <c r="M702">
        <v>0</v>
      </c>
      <c r="N702" s="5">
        <f>5*5/2/H702</f>
        <v>0.25163167413698195</v>
      </c>
      <c r="O702" s="5">
        <f>5.5*2.5/2/H702</f>
        <v>0.13839742077534006</v>
      </c>
      <c r="P702" s="5">
        <v>0</v>
      </c>
    </row>
    <row r="703" spans="1:16" x14ac:dyDescent="0.25">
      <c r="A703" t="s">
        <v>412</v>
      </c>
      <c r="B703" s="5">
        <v>39.71</v>
      </c>
      <c r="C703" s="5">
        <v>-86.272000000000006</v>
      </c>
      <c r="D703" s="5" t="s">
        <v>1720</v>
      </c>
      <c r="E703" s="5">
        <v>1</v>
      </c>
      <c r="F703" s="7">
        <v>1</v>
      </c>
      <c r="G703">
        <f>23.5/2</f>
        <v>11.75</v>
      </c>
      <c r="H703" s="5">
        <f t="shared" si="21"/>
        <v>54.189531250000002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x14ac:dyDescent="0.25">
      <c r="A704" t="s">
        <v>801</v>
      </c>
      <c r="B704">
        <v>39.756</v>
      </c>
      <c r="C704">
        <v>-82.656999999999996</v>
      </c>
      <c r="D704" t="s">
        <v>1703</v>
      </c>
      <c r="E704" s="5">
        <v>1</v>
      </c>
      <c r="F704" s="8">
        <v>1</v>
      </c>
      <c r="G704">
        <f>23.5/2</f>
        <v>11.75</v>
      </c>
      <c r="H704" s="5">
        <f t="shared" si="21"/>
        <v>54.189531250000002</v>
      </c>
      <c r="I704">
        <v>0</v>
      </c>
      <c r="J704">
        <v>0</v>
      </c>
      <c r="K704">
        <v>0</v>
      </c>
      <c r="L704">
        <f>0.7/H704</f>
        <v>1.291762419517146E-2</v>
      </c>
      <c r="M704">
        <f>3.5/H704</f>
        <v>6.458812097585731E-2</v>
      </c>
      <c r="N704">
        <f>2.5/H704</f>
        <v>4.6134372125612361E-2</v>
      </c>
      <c r="O704">
        <f>7/H704</f>
        <v>0.12917624195171462</v>
      </c>
      <c r="P704">
        <f>3*4/H704</f>
        <v>0.22144498620293934</v>
      </c>
    </row>
    <row r="705" spans="1:16" x14ac:dyDescent="0.25">
      <c r="A705" t="s">
        <v>586</v>
      </c>
      <c r="B705">
        <v>39.774000000000001</v>
      </c>
      <c r="C705">
        <v>-94.906999999999996</v>
      </c>
      <c r="D705" t="s">
        <v>1741</v>
      </c>
      <c r="E705" s="5">
        <v>1</v>
      </c>
      <c r="F705" s="8">
        <v>1</v>
      </c>
      <c r="G705">
        <v>10</v>
      </c>
      <c r="H705" s="5">
        <f t="shared" si="21"/>
        <v>39.25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t="s">
        <v>796</v>
      </c>
      <c r="B706">
        <v>39.814</v>
      </c>
      <c r="C706">
        <v>-82.918000000000006</v>
      </c>
      <c r="D706" t="s">
        <v>1698</v>
      </c>
      <c r="E706" s="5">
        <v>1</v>
      </c>
      <c r="F706" s="8">
        <v>0</v>
      </c>
      <c r="G706">
        <f>19/2</f>
        <v>9.5</v>
      </c>
      <c r="H706" s="5">
        <f t="shared" si="21"/>
        <v>35.423124999999999</v>
      </c>
      <c r="I706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</row>
    <row r="707" spans="1:16" x14ac:dyDescent="0.25">
      <c r="A707" t="s">
        <v>413</v>
      </c>
      <c r="B707" s="5">
        <v>39.825000000000003</v>
      </c>
      <c r="C707" s="5">
        <v>-86.296000000000006</v>
      </c>
      <c r="D707" s="5" t="s">
        <v>1721</v>
      </c>
      <c r="E707" s="5">
        <v>1</v>
      </c>
      <c r="F707" s="8">
        <v>1</v>
      </c>
      <c r="G707">
        <f>23/2</f>
        <v>11.5</v>
      </c>
      <c r="H707" s="5">
        <f t="shared" si="21"/>
        <v>51.908124999999998</v>
      </c>
      <c r="I707">
        <f>0.5/H707</f>
        <v>9.6324034050546039E-3</v>
      </c>
      <c r="J707" s="5">
        <f>5/H707</f>
        <v>9.6324034050546042E-2</v>
      </c>
      <c r="K707" s="5">
        <f>0.5/H707</f>
        <v>9.6324034050546039E-3</v>
      </c>
      <c r="L707" s="5">
        <f>6*5.5/2/H707</f>
        <v>0.31786931236680194</v>
      </c>
      <c r="M707" s="5">
        <f>(H707-5*5.5/2)/H707</f>
        <v>0.73510890636099835</v>
      </c>
      <c r="N707" s="5">
        <f>4*6.5/2/H707</f>
        <v>0.2504424885314197</v>
      </c>
      <c r="O707" s="5">
        <f>3*3/2/H707</f>
        <v>8.669163064549143E-2</v>
      </c>
      <c r="P707" s="5">
        <f>4/H707</f>
        <v>7.7059227240436831E-2</v>
      </c>
    </row>
    <row r="708" spans="1:16" x14ac:dyDescent="0.25">
      <c r="A708" t="s">
        <v>824</v>
      </c>
      <c r="B708">
        <v>39.826000000000001</v>
      </c>
      <c r="C708">
        <v>-84.048000000000002</v>
      </c>
      <c r="D708" t="s">
        <v>2251</v>
      </c>
      <c r="E708" s="5">
        <v>1</v>
      </c>
      <c r="F708" s="8">
        <v>0</v>
      </c>
      <c r="G708">
        <v>12.5</v>
      </c>
      <c r="H708" s="5">
        <f t="shared" si="21"/>
        <v>61.328125</v>
      </c>
      <c r="I708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</row>
    <row r="709" spans="1:16" x14ac:dyDescent="0.25">
      <c r="A709" t="s">
        <v>227</v>
      </c>
      <c r="B709" s="5">
        <v>39.832999999999998</v>
      </c>
      <c r="C709" s="5">
        <v>-104.658</v>
      </c>
      <c r="D709" s="5" t="s">
        <v>1972</v>
      </c>
      <c r="E709" s="5">
        <v>1</v>
      </c>
      <c r="F709" s="7">
        <v>0</v>
      </c>
      <c r="G709">
        <v>11.5</v>
      </c>
      <c r="H709" s="5">
        <f t="shared" si="21"/>
        <v>51.908124999999998</v>
      </c>
      <c r="I709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</row>
    <row r="710" spans="1:16" x14ac:dyDescent="0.25">
      <c r="A710" t="s">
        <v>802</v>
      </c>
      <c r="B710" s="5">
        <v>39.832999999999998</v>
      </c>
      <c r="C710" s="5">
        <v>-83.832999999999998</v>
      </c>
      <c r="D710" s="5" t="s">
        <v>1704</v>
      </c>
      <c r="E710" s="5">
        <v>1</v>
      </c>
      <c r="F710" s="8">
        <v>1</v>
      </c>
      <c r="G710">
        <v>10.5</v>
      </c>
      <c r="H710" s="5">
        <f t="shared" si="21"/>
        <v>43.273125</v>
      </c>
      <c r="I710">
        <v>0</v>
      </c>
      <c r="J710" s="5">
        <v>0</v>
      </c>
      <c r="K710" s="5">
        <v>0</v>
      </c>
      <c r="L710" s="5">
        <v>0</v>
      </c>
      <c r="M710" s="5">
        <f>6/H710</f>
        <v>0.1386541877897656</v>
      </c>
      <c r="N710" s="5">
        <v>0</v>
      </c>
      <c r="O710" s="5">
        <v>0</v>
      </c>
      <c r="P710" s="5">
        <v>0</v>
      </c>
    </row>
    <row r="711" spans="1:16" x14ac:dyDescent="0.25">
      <c r="A711" t="s">
        <v>384</v>
      </c>
      <c r="B711" s="5">
        <v>39.844999999999999</v>
      </c>
      <c r="C711" s="5">
        <v>-89.683999999999997</v>
      </c>
      <c r="D711" s="5" t="s">
        <v>1724</v>
      </c>
      <c r="E711" s="5">
        <v>1</v>
      </c>
      <c r="F711" s="8">
        <v>1</v>
      </c>
      <c r="G711">
        <v>10.5</v>
      </c>
      <c r="H711" s="5">
        <f t="shared" si="21"/>
        <v>43.273125</v>
      </c>
      <c r="I711">
        <v>0</v>
      </c>
      <c r="J711">
        <v>0</v>
      </c>
      <c r="K711">
        <v>0</v>
      </c>
      <c r="L711">
        <v>0</v>
      </c>
      <c r="M711">
        <v>0</v>
      </c>
      <c r="N711">
        <f>1/H711</f>
        <v>2.3109031298294263E-2</v>
      </c>
      <c r="O711" s="5">
        <v>0</v>
      </c>
      <c r="P711" s="5">
        <v>0</v>
      </c>
    </row>
    <row r="712" spans="1:16" x14ac:dyDescent="0.25">
      <c r="A712" t="s">
        <v>875</v>
      </c>
      <c r="B712">
        <v>39.868000000000002</v>
      </c>
      <c r="C712">
        <v>-75.230999999999995</v>
      </c>
      <c r="D712" t="s">
        <v>1664</v>
      </c>
      <c r="E712" s="5">
        <v>1</v>
      </c>
      <c r="F712" s="7">
        <v>1</v>
      </c>
      <c r="G712">
        <v>11</v>
      </c>
      <c r="H712" s="5">
        <f t="shared" si="21"/>
        <v>47.4925</v>
      </c>
      <c r="I712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>
        <v>0</v>
      </c>
    </row>
    <row r="713" spans="1:16" x14ac:dyDescent="0.25">
      <c r="A713" t="s">
        <v>800</v>
      </c>
      <c r="B713" s="5">
        <v>39.905999999999999</v>
      </c>
      <c r="C713" s="5">
        <v>-84.218999999999994</v>
      </c>
      <c r="D713" s="5" t="s">
        <v>1702</v>
      </c>
      <c r="E713" s="5">
        <v>1</v>
      </c>
      <c r="F713" s="8">
        <v>1</v>
      </c>
      <c r="G713">
        <f>23.5/2</f>
        <v>11.75</v>
      </c>
      <c r="H713" s="5">
        <f t="shared" si="21"/>
        <v>54.189531250000002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x14ac:dyDescent="0.25">
      <c r="A714" t="s">
        <v>222</v>
      </c>
      <c r="B714" s="5">
        <v>39.908999999999999</v>
      </c>
      <c r="C714" s="5">
        <v>-105.117</v>
      </c>
      <c r="D714" s="5" t="s">
        <v>1763</v>
      </c>
      <c r="E714" s="5">
        <v>1</v>
      </c>
      <c r="F714" s="7">
        <v>0</v>
      </c>
      <c r="G714">
        <v>12.5</v>
      </c>
      <c r="H714" s="5">
        <f t="shared" si="21"/>
        <v>61.328125</v>
      </c>
      <c r="I714">
        <f>3/H714</f>
        <v>4.8917197452229298E-2</v>
      </c>
      <c r="J714">
        <f>4.5/H714</f>
        <v>7.3375796178343944E-2</v>
      </c>
      <c r="K714">
        <f>0.5/H714</f>
        <v>8.1528662420382158E-3</v>
      </c>
      <c r="L714">
        <v>0</v>
      </c>
      <c r="M714">
        <v>0</v>
      </c>
      <c r="N714">
        <f>0.6/H714</f>
        <v>9.7834394904458589E-3</v>
      </c>
      <c r="O714">
        <v>0</v>
      </c>
      <c r="P714">
        <v>0</v>
      </c>
    </row>
    <row r="715" spans="1:16" x14ac:dyDescent="0.25">
      <c r="A715" t="s">
        <v>886</v>
      </c>
      <c r="B715" s="5">
        <v>39.917999999999999</v>
      </c>
      <c r="C715" s="5">
        <v>-76.873999999999995</v>
      </c>
      <c r="D715" s="5" t="s">
        <v>1851</v>
      </c>
      <c r="E715" s="5">
        <v>1</v>
      </c>
      <c r="F715" s="8">
        <v>1</v>
      </c>
      <c r="G715">
        <f>19.5/2</f>
        <v>9.75</v>
      </c>
      <c r="H715" s="5">
        <f t="shared" si="21"/>
        <v>37.312031250000004</v>
      </c>
      <c r="I715">
        <f>2/H715</f>
        <v>5.3602013425629293E-2</v>
      </c>
      <c r="J715">
        <v>0</v>
      </c>
      <c r="K715">
        <f>2.5/H715</f>
        <v>6.7002516782036614E-2</v>
      </c>
      <c r="L715">
        <f>0.5/H715</f>
        <v>1.3400503356407323E-2</v>
      </c>
      <c r="M715">
        <f>2/H715</f>
        <v>5.3602013425629293E-2</v>
      </c>
      <c r="N715">
        <f>0.5/H715</f>
        <v>1.3400503356407323E-2</v>
      </c>
      <c r="O715">
        <f>5/H715</f>
        <v>0.13400503356407323</v>
      </c>
      <c r="P715" s="5">
        <f>1.5/H715</f>
        <v>4.0201510069221971E-2</v>
      </c>
    </row>
    <row r="716" spans="1:16" x14ac:dyDescent="0.25">
      <c r="A716" t="s">
        <v>696</v>
      </c>
      <c r="B716" s="5">
        <v>39.941000000000003</v>
      </c>
      <c r="C716" s="5">
        <v>-74.840999999999994</v>
      </c>
      <c r="D716" s="5" t="s">
        <v>1661</v>
      </c>
      <c r="E716" s="5">
        <v>1</v>
      </c>
      <c r="F716" s="8">
        <v>1</v>
      </c>
      <c r="G716">
        <f>25.5/2</f>
        <v>12.75</v>
      </c>
      <c r="H716" s="5">
        <f t="shared" si="21"/>
        <v>63.805781250000003</v>
      </c>
      <c r="I716">
        <f>0.3/H716</f>
        <v>4.7017683056737114E-3</v>
      </c>
      <c r="J716">
        <f>2*6/H716</f>
        <v>0.18807073222694848</v>
      </c>
      <c r="K716">
        <f>5.5*6/2/H716</f>
        <v>0.25859725681205414</v>
      </c>
      <c r="L716">
        <f>6.5*8.5/2/H716</f>
        <v>0.43295449814745429</v>
      </c>
      <c r="M716">
        <f>5/H716</f>
        <v>7.8362805094561866E-2</v>
      </c>
      <c r="N716">
        <f>4*5/2/H716</f>
        <v>0.15672561018912373</v>
      </c>
      <c r="O716">
        <f>6*8/2/H716</f>
        <v>0.37614146445389696</v>
      </c>
      <c r="P716">
        <f>1/H716</f>
        <v>1.5672561018912373E-2</v>
      </c>
    </row>
    <row r="717" spans="1:16" x14ac:dyDescent="0.25">
      <c r="A717" t="s">
        <v>386</v>
      </c>
      <c r="B717" s="5">
        <v>39.942999999999998</v>
      </c>
      <c r="C717" s="5">
        <v>-91.194000000000003</v>
      </c>
      <c r="D717" s="5" t="s">
        <v>1726</v>
      </c>
      <c r="E717" s="5">
        <v>1</v>
      </c>
      <c r="F717" s="8">
        <v>0</v>
      </c>
      <c r="G717">
        <v>12</v>
      </c>
      <c r="H717" s="5">
        <f t="shared" si="21"/>
        <v>56.519999999999996</v>
      </c>
      <c r="I717">
        <f>8*4/2/H717</f>
        <v>0.28308563340410475</v>
      </c>
      <c r="J717">
        <v>0</v>
      </c>
      <c r="K717">
        <f>9*3/2/H717</f>
        <v>0.23885350318471341</v>
      </c>
      <c r="L717">
        <v>0</v>
      </c>
      <c r="M717">
        <f>2/H717</f>
        <v>3.5385704175513094E-2</v>
      </c>
      <c r="N717">
        <v>0</v>
      </c>
      <c r="O717">
        <v>0</v>
      </c>
      <c r="P717">
        <v>0</v>
      </c>
    </row>
    <row r="718" spans="1:16" x14ac:dyDescent="0.25">
      <c r="A718" t="s">
        <v>797</v>
      </c>
      <c r="B718" s="5">
        <v>39.944000000000003</v>
      </c>
      <c r="C718" s="5">
        <v>-81.891999999999996</v>
      </c>
      <c r="D718" s="5" t="s">
        <v>1699</v>
      </c>
      <c r="E718" s="5">
        <v>1</v>
      </c>
      <c r="F718" s="8">
        <v>1</v>
      </c>
      <c r="G718">
        <f>20.7/2</f>
        <v>10.35</v>
      </c>
      <c r="H718" s="5">
        <f t="shared" si="21"/>
        <v>42.045581250000005</v>
      </c>
      <c r="I718">
        <f>4*6/2/H718</f>
        <v>0.28540454533495119</v>
      </c>
      <c r="J718">
        <f>4/H718</f>
        <v>9.5134848444983725E-2</v>
      </c>
      <c r="K718">
        <v>0</v>
      </c>
      <c r="L718">
        <v>0</v>
      </c>
      <c r="M718">
        <v>0</v>
      </c>
      <c r="N718">
        <f>5*2.5/2/H718</f>
        <v>0.14864820069528709</v>
      </c>
      <c r="O718">
        <v>0</v>
      </c>
      <c r="P718">
        <v>0</v>
      </c>
    </row>
    <row r="719" spans="1:16" x14ac:dyDescent="0.25">
      <c r="A719" t="s">
        <v>394</v>
      </c>
      <c r="B719" s="5">
        <v>39.984000000000002</v>
      </c>
      <c r="C719" s="5">
        <v>-88.866</v>
      </c>
      <c r="D719" s="5" t="s">
        <v>1905</v>
      </c>
      <c r="E719" s="5">
        <v>1</v>
      </c>
      <c r="F719" s="8">
        <v>1</v>
      </c>
      <c r="G719">
        <f>18.5/2</f>
        <v>9.25</v>
      </c>
      <c r="H719" s="5">
        <f t="shared" si="21"/>
        <v>33.583281249999999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f>2/H719</f>
        <v>5.9553442235487343E-2</v>
      </c>
      <c r="P719">
        <v>0</v>
      </c>
    </row>
    <row r="720" spans="1:16" x14ac:dyDescent="0.25">
      <c r="A720" t="s">
        <v>795</v>
      </c>
      <c r="B720" s="5">
        <v>39.991</v>
      </c>
      <c r="C720" s="5">
        <v>-82.881</v>
      </c>
      <c r="D720" s="5" t="s">
        <v>1697</v>
      </c>
      <c r="E720">
        <v>1</v>
      </c>
      <c r="F720" s="7">
        <v>0</v>
      </c>
      <c r="G720" s="5">
        <f>11/2</f>
        <v>5.5</v>
      </c>
      <c r="H720" s="5">
        <f t="shared" si="21"/>
        <v>11.873125</v>
      </c>
      <c r="I720" s="5">
        <v>0</v>
      </c>
      <c r="J720" s="5">
        <v>0</v>
      </c>
      <c r="K720" s="5">
        <v>0</v>
      </c>
      <c r="L720" s="5">
        <v>0</v>
      </c>
      <c r="M720" s="5">
        <f>0.4/H720</f>
        <v>3.3689529925777756E-2</v>
      </c>
      <c r="N720" s="5">
        <f>1.5/H720</f>
        <v>0.12633573722166658</v>
      </c>
      <c r="O720" s="5">
        <f>1.5/H720</f>
        <v>0.12633573722166658</v>
      </c>
      <c r="P720" s="5">
        <v>0</v>
      </c>
    </row>
    <row r="721" spans="1:16" x14ac:dyDescent="0.25">
      <c r="A721" t="s">
        <v>702</v>
      </c>
      <c r="B721" s="5">
        <v>40.015999999999998</v>
      </c>
      <c r="C721" s="5">
        <v>-74.593000000000004</v>
      </c>
      <c r="D721" s="5" t="s">
        <v>1673</v>
      </c>
      <c r="E721">
        <v>1</v>
      </c>
      <c r="F721" s="7">
        <v>0</v>
      </c>
      <c r="G721">
        <f>21.7/2</f>
        <v>10.85</v>
      </c>
      <c r="H721" s="5">
        <f t="shared" si="21"/>
        <v>46.206081250000004</v>
      </c>
      <c r="I721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</row>
    <row r="722" spans="1:16" x14ac:dyDescent="0.25">
      <c r="A722" t="s">
        <v>813</v>
      </c>
      <c r="B722" s="5">
        <v>40.023000000000003</v>
      </c>
      <c r="C722" s="5">
        <v>-82.462999999999994</v>
      </c>
      <c r="D722" s="5" t="s">
        <v>1885</v>
      </c>
      <c r="E722">
        <v>1</v>
      </c>
      <c r="F722" s="7">
        <v>1</v>
      </c>
      <c r="G722">
        <f>22.4/2</f>
        <v>11.2</v>
      </c>
      <c r="H722" s="5">
        <f t="shared" si="21"/>
        <v>49.235199999999999</v>
      </c>
      <c r="I722">
        <f>3.5*5/2/H722</f>
        <v>0.17771838034576889</v>
      </c>
      <c r="J722">
        <f>9.5*6.5/2/H722</f>
        <v>0.6270919992200702</v>
      </c>
      <c r="K722">
        <v>0</v>
      </c>
      <c r="L722">
        <f>1.3/H722</f>
        <v>2.6403873651371378E-2</v>
      </c>
      <c r="M722">
        <f>2.5*2/H722</f>
        <v>0.10155336019758222</v>
      </c>
      <c r="N722">
        <v>0</v>
      </c>
      <c r="O722">
        <v>0</v>
      </c>
      <c r="P722">
        <f>3/H722</f>
        <v>6.0932016118549329E-2</v>
      </c>
    </row>
    <row r="723" spans="1:16" x14ac:dyDescent="0.25">
      <c r="A723" t="s">
        <v>699</v>
      </c>
      <c r="B723" s="5">
        <v>40.033000000000001</v>
      </c>
      <c r="C723" s="5">
        <v>-74.349999999999994</v>
      </c>
      <c r="D723" s="5" t="s">
        <v>1669</v>
      </c>
      <c r="E723">
        <v>1</v>
      </c>
      <c r="F723" s="8">
        <v>1</v>
      </c>
      <c r="G723">
        <v>11</v>
      </c>
      <c r="H723" s="5">
        <f t="shared" si="21"/>
        <v>47.4925</v>
      </c>
      <c r="I723">
        <f>0.99</f>
        <v>0.99</v>
      </c>
      <c r="J723">
        <f>4.3*10/2/H723</f>
        <v>0.45270305837763858</v>
      </c>
      <c r="K723">
        <v>0</v>
      </c>
      <c r="L723">
        <v>0</v>
      </c>
      <c r="M723">
        <v>0</v>
      </c>
      <c r="N723">
        <v>0</v>
      </c>
      <c r="O723">
        <v>0</v>
      </c>
      <c r="P723">
        <f>(H723-4*7/2)/H723</f>
        <v>0.70521661314944462</v>
      </c>
    </row>
    <row r="724" spans="1:16" x14ac:dyDescent="0.25">
      <c r="A724" t="s">
        <v>393</v>
      </c>
      <c r="B724">
        <v>40.04</v>
      </c>
      <c r="C724">
        <v>-88.278000000000006</v>
      </c>
      <c r="D724" t="s">
        <v>1904</v>
      </c>
      <c r="E724">
        <v>1</v>
      </c>
      <c r="F724" s="8">
        <v>1</v>
      </c>
      <c r="G724">
        <f>19.5/2</f>
        <v>9.75</v>
      </c>
      <c r="H724" s="5">
        <f t="shared" si="21"/>
        <v>37.312031250000004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t="s">
        <v>213</v>
      </c>
      <c r="B725">
        <v>40.048999999999999</v>
      </c>
      <c r="C725">
        <v>-107.88500000000001</v>
      </c>
      <c r="D725" t="s">
        <v>1754</v>
      </c>
      <c r="E725" s="5">
        <v>1</v>
      </c>
      <c r="F725" s="8">
        <v>1</v>
      </c>
      <c r="G725">
        <f>23/2</f>
        <v>11.5</v>
      </c>
      <c r="H725" s="5">
        <f t="shared" si="21"/>
        <v>51.908124999999998</v>
      </c>
      <c r="I725">
        <v>0</v>
      </c>
      <c r="J725">
        <v>0</v>
      </c>
      <c r="K725">
        <v>0</v>
      </c>
      <c r="L725">
        <v>0</v>
      </c>
      <c r="M725">
        <f>2/H725</f>
        <v>3.8529613620218416E-2</v>
      </c>
      <c r="N725">
        <f>2/H725</f>
        <v>3.8529613620218416E-2</v>
      </c>
      <c r="O725">
        <v>0</v>
      </c>
      <c r="P725">
        <v>0</v>
      </c>
    </row>
    <row r="726" spans="1:16" x14ac:dyDescent="0.25">
      <c r="A726" t="s">
        <v>750</v>
      </c>
      <c r="B726">
        <v>40.066000000000003</v>
      </c>
      <c r="C726">
        <v>-118.565</v>
      </c>
      <c r="D726" t="s">
        <v>1991</v>
      </c>
      <c r="E726" s="5">
        <v>1</v>
      </c>
      <c r="F726" s="8">
        <v>1</v>
      </c>
      <c r="G726">
        <v>12</v>
      </c>
      <c r="H726" s="5">
        <f t="shared" si="21"/>
        <v>56.519999999999996</v>
      </c>
      <c r="I726">
        <f>1.5/H726</f>
        <v>2.6539278131634821E-2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t="s">
        <v>799</v>
      </c>
      <c r="B727">
        <v>40.078000000000003</v>
      </c>
      <c r="C727">
        <v>-83.078000000000003</v>
      </c>
      <c r="D727" t="s">
        <v>1701</v>
      </c>
      <c r="E727" s="5">
        <v>1</v>
      </c>
      <c r="F727" s="8">
        <v>1</v>
      </c>
      <c r="G727">
        <v>13</v>
      </c>
      <c r="H727" s="5">
        <f t="shared" si="21"/>
        <v>66.332499999999996</v>
      </c>
      <c r="I727">
        <v>0</v>
      </c>
      <c r="J727">
        <v>0</v>
      </c>
      <c r="K727">
        <v>0</v>
      </c>
      <c r="L727">
        <f>1.5/H727</f>
        <v>2.2613349413937361E-2</v>
      </c>
      <c r="M727">
        <f>3.5/H727</f>
        <v>5.2764481965853843E-2</v>
      </c>
      <c r="N727">
        <v>0</v>
      </c>
      <c r="O727">
        <v>0</v>
      </c>
      <c r="P727">
        <v>0</v>
      </c>
    </row>
    <row r="728" spans="1:16" x14ac:dyDescent="0.25">
      <c r="A728" t="s">
        <v>672</v>
      </c>
      <c r="B728">
        <v>40.079000000000001</v>
      </c>
      <c r="C728">
        <v>-95.591999999999999</v>
      </c>
      <c r="D728" t="s">
        <v>1958</v>
      </c>
      <c r="E728" s="5">
        <v>1</v>
      </c>
      <c r="F728" s="8">
        <v>1</v>
      </c>
      <c r="G728">
        <v>11</v>
      </c>
      <c r="H728" s="5">
        <f t="shared" si="21"/>
        <v>47.4925</v>
      </c>
      <c r="I728">
        <f>6*3.5/2/H728</f>
        <v>0.22108754013791651</v>
      </c>
      <c r="J728">
        <f>4*5.5/H728</f>
        <v>0.46323103647944414</v>
      </c>
      <c r="K728">
        <f>0.8/H728</f>
        <v>1.6844764962888878E-2</v>
      </c>
      <c r="L728">
        <f>2.5*1.5/H728</f>
        <v>7.8959835763541611E-2</v>
      </c>
      <c r="M728">
        <f>3*2/H728</f>
        <v>0.12633573722166658</v>
      </c>
      <c r="N728">
        <v>0</v>
      </c>
      <c r="O728">
        <v>0</v>
      </c>
      <c r="P728">
        <f>7.5*2.3/2/H728</f>
        <v>0.18160762225614571</v>
      </c>
    </row>
    <row r="729" spans="1:16" x14ac:dyDescent="0.25">
      <c r="A729" t="s">
        <v>876</v>
      </c>
      <c r="B729">
        <v>40.082000000000001</v>
      </c>
      <c r="C729">
        <v>-75.010999999999996</v>
      </c>
      <c r="D729" t="s">
        <v>1665</v>
      </c>
      <c r="E729">
        <v>1</v>
      </c>
      <c r="F729" s="8">
        <v>1</v>
      </c>
      <c r="G729">
        <f>19.4/2</f>
        <v>9.6999999999999993</v>
      </c>
      <c r="H729" s="5">
        <f t="shared" si="21"/>
        <v>36.930324999999996</v>
      </c>
      <c r="I729">
        <v>0</v>
      </c>
      <c r="J729">
        <v>0</v>
      </c>
      <c r="K729">
        <v>0</v>
      </c>
      <c r="L729">
        <f>7*3.2/2/H729</f>
        <v>0.30327380005456228</v>
      </c>
      <c r="M729">
        <f>9*4/2/H729</f>
        <v>0.48740432151626073</v>
      </c>
      <c r="N729">
        <f>5*3/2/H729</f>
        <v>0.20308513396510863</v>
      </c>
      <c r="O729">
        <v>0</v>
      </c>
      <c r="P729">
        <v>0</v>
      </c>
    </row>
    <row r="730" spans="1:16" x14ac:dyDescent="0.25">
      <c r="A730" t="s">
        <v>576</v>
      </c>
      <c r="B730" s="5">
        <v>40.097000000000001</v>
      </c>
      <c r="C730" s="5">
        <v>-92.543000000000006</v>
      </c>
      <c r="D730" s="5" t="s">
        <v>1731</v>
      </c>
      <c r="E730">
        <v>1</v>
      </c>
      <c r="F730" s="8">
        <v>1</v>
      </c>
      <c r="G730">
        <v>10</v>
      </c>
      <c r="H730" s="5">
        <f t="shared" si="21"/>
        <v>39.25</v>
      </c>
      <c r="I730">
        <f>3.5/H730</f>
        <v>8.9171974522292988E-2</v>
      </c>
      <c r="J730">
        <f>5.5/H730</f>
        <v>0.14012738853503184</v>
      </c>
      <c r="K730">
        <f>3*5/2/H730</f>
        <v>0.19108280254777071</v>
      </c>
      <c r="L730">
        <f>1.5*5.5/H730</f>
        <v>0.21019108280254778</v>
      </c>
      <c r="M730">
        <f>1/H730</f>
        <v>2.5477707006369428E-2</v>
      </c>
      <c r="N730">
        <v>0</v>
      </c>
      <c r="O730">
        <v>0</v>
      </c>
      <c r="P730">
        <v>0</v>
      </c>
    </row>
    <row r="731" spans="1:16" x14ac:dyDescent="0.25">
      <c r="A731" t="s">
        <v>175</v>
      </c>
      <c r="B731">
        <v>40.152000000000001</v>
      </c>
      <c r="C731">
        <v>-122.254</v>
      </c>
      <c r="D731" t="s">
        <v>2006</v>
      </c>
      <c r="E731" s="5">
        <v>1</v>
      </c>
      <c r="F731" s="8">
        <v>1</v>
      </c>
      <c r="G731">
        <f>22.5/2</f>
        <v>11.25</v>
      </c>
      <c r="H731" s="5">
        <f t="shared" si="21"/>
        <v>49.675781250000007</v>
      </c>
      <c r="I731">
        <v>0</v>
      </c>
      <c r="J731">
        <f>1.3/H731</f>
        <v>2.6169694110246125E-2</v>
      </c>
      <c r="K731">
        <f>0.5/H731</f>
        <v>1.0065266965479278E-2</v>
      </c>
      <c r="L731">
        <v>0</v>
      </c>
      <c r="M731">
        <f>0.5/H731</f>
        <v>1.0065266965479278E-2</v>
      </c>
      <c r="N731">
        <f>1.5/H731</f>
        <v>3.0195800896437835E-2</v>
      </c>
      <c r="O731">
        <f>2.5/H731</f>
        <v>5.0326334827396388E-2</v>
      </c>
      <c r="P731">
        <f>2.5/H731</f>
        <v>5.0326334827396388E-2</v>
      </c>
    </row>
    <row r="732" spans="1:16" x14ac:dyDescent="0.25">
      <c r="A732" t="s">
        <v>221</v>
      </c>
      <c r="B732" s="5">
        <v>40.171999999999997</v>
      </c>
      <c r="C732" s="5">
        <v>-103.232</v>
      </c>
      <c r="D732" s="5" t="s">
        <v>1762</v>
      </c>
      <c r="E732" s="5">
        <v>1</v>
      </c>
      <c r="F732" s="8">
        <v>1</v>
      </c>
      <c r="G732">
        <f>18.5/2</f>
        <v>9.25</v>
      </c>
      <c r="H732" s="5">
        <f t="shared" si="21"/>
        <v>33.583281249999999</v>
      </c>
      <c r="I732">
        <v>0</v>
      </c>
      <c r="J732">
        <v>0</v>
      </c>
      <c r="K732">
        <v>0</v>
      </c>
      <c r="L732">
        <v>0</v>
      </c>
      <c r="M732">
        <f>0.5*0.5/2/H732</f>
        <v>3.7220901397179589E-3</v>
      </c>
      <c r="N732">
        <v>0</v>
      </c>
      <c r="O732">
        <v>0</v>
      </c>
      <c r="P732">
        <v>0</v>
      </c>
    </row>
    <row r="733" spans="1:16" x14ac:dyDescent="0.25">
      <c r="A733" t="s">
        <v>1163</v>
      </c>
      <c r="B733" s="5">
        <v>40.176000000000002</v>
      </c>
      <c r="C733" s="5">
        <v>-80.647000000000006</v>
      </c>
      <c r="D733" s="5" t="s">
        <v>1695</v>
      </c>
      <c r="E733">
        <v>1</v>
      </c>
      <c r="F733" s="8">
        <v>1</v>
      </c>
      <c r="G733">
        <f>25.5/2</f>
        <v>12.75</v>
      </c>
      <c r="H733" s="5">
        <f t="shared" si="21"/>
        <v>63.805781250000003</v>
      </c>
      <c r="I733">
        <f>3.5*8/H733</f>
        <v>0.43883170852954645</v>
      </c>
      <c r="J733">
        <v>0</v>
      </c>
      <c r="K733">
        <f>2/H733</f>
        <v>3.1345122037824746E-2</v>
      </c>
      <c r="L733">
        <f>2*3/H733</f>
        <v>9.4035366113474239E-2</v>
      </c>
      <c r="M733">
        <v>0</v>
      </c>
      <c r="N733">
        <f>9*9.5/2/H733</f>
        <v>0.67000198355850393</v>
      </c>
      <c r="O733">
        <f>12*6.5/2/H733</f>
        <v>0.61122987973758258</v>
      </c>
      <c r="P733">
        <f>4*4.5/H733</f>
        <v>0.28210609834042272</v>
      </c>
    </row>
    <row r="734" spans="1:16" x14ac:dyDescent="0.25">
      <c r="A734" t="s">
        <v>887</v>
      </c>
      <c r="B734" s="5">
        <v>40.194000000000003</v>
      </c>
      <c r="C734" s="5">
        <v>-76.763000000000005</v>
      </c>
      <c r="D734" s="5" t="s">
        <v>1852</v>
      </c>
      <c r="E734">
        <v>1</v>
      </c>
      <c r="F734" s="8">
        <v>1</v>
      </c>
      <c r="G734">
        <f>21/2</f>
        <v>10.5</v>
      </c>
      <c r="H734" s="5">
        <f t="shared" si="21"/>
        <v>43.273125</v>
      </c>
      <c r="I734">
        <f>4/H734</f>
        <v>9.2436125193177052E-2</v>
      </c>
      <c r="J734">
        <f>3/H734</f>
        <v>6.9327093894882799E-2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x14ac:dyDescent="0.25">
      <c r="A735" t="s">
        <v>1064</v>
      </c>
      <c r="B735" s="1">
        <v>40.198999999999998</v>
      </c>
      <c r="C735" s="1">
        <v>-112.937</v>
      </c>
      <c r="D735" s="1" t="s">
        <v>2223</v>
      </c>
      <c r="E735">
        <v>1</v>
      </c>
      <c r="F735" s="7">
        <v>0</v>
      </c>
      <c r="G735">
        <f>25.4/2</f>
        <v>12.7</v>
      </c>
      <c r="H735" s="5">
        <f t="shared" si="21"/>
        <v>63.306324999999994</v>
      </c>
      <c r="I73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</row>
    <row r="736" spans="1:16" x14ac:dyDescent="0.25">
      <c r="A736" t="s">
        <v>381</v>
      </c>
      <c r="B736" s="1">
        <v>40.198999999999998</v>
      </c>
      <c r="C736" s="1">
        <v>-87.584000000000003</v>
      </c>
      <c r="D736" s="1" t="s">
        <v>1257</v>
      </c>
      <c r="E736" s="5">
        <v>1</v>
      </c>
      <c r="F736" s="8">
        <v>1</v>
      </c>
      <c r="G736">
        <v>12</v>
      </c>
      <c r="H736" s="5">
        <f t="shared" si="21"/>
        <v>56.519999999999996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x14ac:dyDescent="0.25">
      <c r="A737" t="s">
        <v>1063</v>
      </c>
      <c r="B737" s="1">
        <v>40.200000000000003</v>
      </c>
      <c r="C737" s="1">
        <v>-112.93300000000001</v>
      </c>
      <c r="D737" s="1" t="s">
        <v>2223</v>
      </c>
      <c r="E737" s="5">
        <v>1</v>
      </c>
      <c r="F737" s="7">
        <v>0</v>
      </c>
      <c r="G737" s="5">
        <f>25.4/2</f>
        <v>12.7</v>
      </c>
      <c r="H737" s="5">
        <f t="shared" si="21"/>
        <v>63.306324999999994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</row>
    <row r="738" spans="1:16" x14ac:dyDescent="0.25">
      <c r="A738" t="s">
        <v>388</v>
      </c>
      <c r="B738" s="1">
        <v>40.200000000000003</v>
      </c>
      <c r="C738" s="1">
        <v>-87.6</v>
      </c>
      <c r="D738" s="1" t="s">
        <v>1257</v>
      </c>
      <c r="E738" s="5">
        <v>1</v>
      </c>
      <c r="F738" s="8">
        <v>1</v>
      </c>
      <c r="G738">
        <v>12</v>
      </c>
      <c r="H738" s="5">
        <f t="shared" si="21"/>
        <v>56.519999999999996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t="s">
        <v>877</v>
      </c>
      <c r="B739">
        <v>40.200000000000003</v>
      </c>
      <c r="C739">
        <v>-75.150000000000006</v>
      </c>
      <c r="D739" t="s">
        <v>1666</v>
      </c>
      <c r="E739" s="5">
        <v>1</v>
      </c>
      <c r="F739" s="8">
        <v>1</v>
      </c>
      <c r="G739">
        <v>12</v>
      </c>
      <c r="H739" s="5">
        <f t="shared" si="21"/>
        <v>56.519999999999996</v>
      </c>
      <c r="I739">
        <f>4/H739</f>
        <v>7.0771408351026188E-2</v>
      </c>
      <c r="J739">
        <v>0</v>
      </c>
      <c r="K739">
        <v>0</v>
      </c>
      <c r="L739">
        <f>9/H739</f>
        <v>0.15923566878980894</v>
      </c>
      <c r="M739">
        <f>8.5*6/2/H739</f>
        <v>0.45116772823779194</v>
      </c>
      <c r="N739">
        <f>7.5*4.5/2/H739</f>
        <v>0.29856687898089174</v>
      </c>
      <c r="O739">
        <f>8/H739</f>
        <v>0.14154281670205238</v>
      </c>
      <c r="P739">
        <f>4.5*4/2/H739</f>
        <v>0.15923566878980894</v>
      </c>
    </row>
    <row r="740" spans="1:16" x14ac:dyDescent="0.25">
      <c r="A740" t="s">
        <v>679</v>
      </c>
      <c r="B740">
        <v>40.206000000000003</v>
      </c>
      <c r="C740">
        <v>-100.59099999999999</v>
      </c>
      <c r="D740" t="s">
        <v>1966</v>
      </c>
      <c r="E740" s="5">
        <v>1</v>
      </c>
      <c r="F740" s="8">
        <v>1</v>
      </c>
      <c r="G740">
        <v>10</v>
      </c>
      <c r="H740" s="5">
        <f t="shared" si="21"/>
        <v>39.25</v>
      </c>
      <c r="I740">
        <v>0</v>
      </c>
      <c r="J740">
        <v>0</v>
      </c>
      <c r="K740">
        <v>0</v>
      </c>
      <c r="L740">
        <v>0</v>
      </c>
      <c r="M740">
        <v>0</v>
      </c>
      <c r="N740" s="5">
        <v>0</v>
      </c>
      <c r="O740" s="5">
        <v>0</v>
      </c>
      <c r="P740" s="5">
        <v>0</v>
      </c>
    </row>
    <row r="741" spans="1:16" x14ac:dyDescent="0.25">
      <c r="A741" t="s">
        <v>884</v>
      </c>
      <c r="B741" s="1">
        <v>40.216999999999999</v>
      </c>
      <c r="C741" s="1">
        <v>-76.850999999999999</v>
      </c>
      <c r="D741" s="1" t="s">
        <v>2313</v>
      </c>
      <c r="E741" s="5">
        <v>1</v>
      </c>
      <c r="F741" s="7">
        <v>1</v>
      </c>
      <c r="G741" s="5">
        <f>20.5/2</f>
        <v>10.25</v>
      </c>
      <c r="H741" s="5">
        <f t="shared" si="21"/>
        <v>41.237031250000001</v>
      </c>
      <c r="I741" s="5">
        <f>(H741-10.5*6/2)/H741</f>
        <v>0.23612347821474178</v>
      </c>
      <c r="J741" s="5">
        <f>4*2.5/2/H741</f>
        <v>0.12125024155321559</v>
      </c>
      <c r="K741" s="5">
        <v>0</v>
      </c>
      <c r="L741" s="5">
        <v>0</v>
      </c>
      <c r="M741" s="5">
        <f>2/H741</f>
        <v>4.8500096621286237E-2</v>
      </c>
      <c r="N741" s="5">
        <v>0</v>
      </c>
      <c r="O741" s="5">
        <v>0</v>
      </c>
      <c r="P741" s="5">
        <f>2/H741</f>
        <v>4.8500096621286237E-2</v>
      </c>
    </row>
    <row r="742" spans="1:16" x14ac:dyDescent="0.25">
      <c r="A742" t="s">
        <v>888</v>
      </c>
      <c r="B742" s="1">
        <v>40.216999999999999</v>
      </c>
      <c r="C742" s="1">
        <v>-76.850999999999999</v>
      </c>
      <c r="D742" s="1" t="s">
        <v>2313</v>
      </c>
      <c r="E742" s="5">
        <v>1</v>
      </c>
      <c r="F742" s="7">
        <v>1</v>
      </c>
      <c r="G742" s="5">
        <f>20.5/2</f>
        <v>10.25</v>
      </c>
      <c r="H742" s="5">
        <f t="shared" si="21"/>
        <v>41.237031250000001</v>
      </c>
      <c r="I742" s="5">
        <f>(H742-10.5*6/2)/H742</f>
        <v>0.23612347821474178</v>
      </c>
      <c r="J742" s="5">
        <f>4*2.5/2/H742</f>
        <v>0.12125024155321559</v>
      </c>
      <c r="K742" s="5">
        <v>0</v>
      </c>
      <c r="L742" s="5">
        <v>0</v>
      </c>
      <c r="M742" s="5">
        <f>2/H742</f>
        <v>4.8500096621286237E-2</v>
      </c>
      <c r="N742" s="5">
        <v>0</v>
      </c>
      <c r="O742" s="5">
        <v>0</v>
      </c>
      <c r="P742" s="5">
        <f>2/H742</f>
        <v>4.8500096621286237E-2</v>
      </c>
    </row>
    <row r="743" spans="1:16" x14ac:dyDescent="0.25">
      <c r="A743" t="s">
        <v>883</v>
      </c>
      <c r="B743" s="1">
        <v>40.216999999999999</v>
      </c>
      <c r="C743" s="1">
        <v>-76.850999999999999</v>
      </c>
      <c r="D743" s="1" t="s">
        <v>1849</v>
      </c>
      <c r="E743" s="5">
        <v>1</v>
      </c>
      <c r="F743" s="7">
        <v>1</v>
      </c>
      <c r="G743">
        <f>20.5/2</f>
        <v>10.25</v>
      </c>
      <c r="H743" s="5">
        <f t="shared" si="21"/>
        <v>41.237031250000001</v>
      </c>
      <c r="I743">
        <f>(H743-10.5*6/2)/H743</f>
        <v>0.23612347821474178</v>
      </c>
      <c r="J743">
        <f>4*2.5/2/H743</f>
        <v>0.12125024155321559</v>
      </c>
      <c r="K743">
        <v>0</v>
      </c>
      <c r="L743">
        <v>0</v>
      </c>
      <c r="M743">
        <f>2/H743</f>
        <v>4.8500096621286237E-2</v>
      </c>
      <c r="N743">
        <v>0</v>
      </c>
      <c r="O743">
        <v>0</v>
      </c>
      <c r="P743">
        <f>2/H743</f>
        <v>4.8500096621286237E-2</v>
      </c>
    </row>
    <row r="744" spans="1:16" x14ac:dyDescent="0.25">
      <c r="A744" t="s">
        <v>419</v>
      </c>
      <c r="B744" s="5">
        <v>40.234000000000002</v>
      </c>
      <c r="C744" s="5">
        <v>-85.394000000000005</v>
      </c>
      <c r="D744" s="5" t="s">
        <v>1911</v>
      </c>
      <c r="E744">
        <v>1</v>
      </c>
      <c r="F744" s="7">
        <v>1</v>
      </c>
      <c r="G744">
        <f>20.6/2</f>
        <v>10.3</v>
      </c>
      <c r="H744" s="5">
        <f t="shared" si="21"/>
        <v>41.640325000000011</v>
      </c>
      <c r="I744">
        <v>0</v>
      </c>
      <c r="J744" s="5">
        <v>0</v>
      </c>
      <c r="K744" s="5">
        <v>0</v>
      </c>
      <c r="L744" s="5">
        <f>3*2.5/H744</f>
        <v>0.18011386798734155</v>
      </c>
      <c r="M744" s="5">
        <f>2.5*2.5/H744</f>
        <v>0.15009488998945128</v>
      </c>
      <c r="N744" s="5">
        <f>7*3.2/2/H744</f>
        <v>0.26897004286109671</v>
      </c>
      <c r="O744" s="5">
        <v>0</v>
      </c>
      <c r="P744" s="5">
        <v>0</v>
      </c>
    </row>
    <row r="745" spans="1:16" x14ac:dyDescent="0.25">
      <c r="A745" t="s">
        <v>882</v>
      </c>
      <c r="B745" s="5">
        <v>40.238</v>
      </c>
      <c r="C745" s="5">
        <v>-75.557000000000002</v>
      </c>
      <c r="D745" s="5" t="s">
        <v>1848</v>
      </c>
      <c r="E745">
        <v>1</v>
      </c>
      <c r="F745" s="7">
        <v>1</v>
      </c>
      <c r="G745">
        <f>25.5/2</f>
        <v>12.75</v>
      </c>
      <c r="H745" s="5">
        <f t="shared" si="21"/>
        <v>63.805781250000003</v>
      </c>
      <c r="I745">
        <f>4.5/H745</f>
        <v>7.0526524585105679E-2</v>
      </c>
      <c r="J745" s="5">
        <f>1.5/H745</f>
        <v>2.350884152836856E-2</v>
      </c>
      <c r="K745" s="5">
        <f>7.5*8/2/H745</f>
        <v>0.4701768305673712</v>
      </c>
      <c r="L745" s="5">
        <f>7*9/2/H745</f>
        <v>0.49368567209573971</v>
      </c>
      <c r="M745" s="5">
        <f>10*5.5/2/H745</f>
        <v>0.43099542802009022</v>
      </c>
      <c r="N745" s="5">
        <f>5.5/H745</f>
        <v>8.6199085604018053E-2</v>
      </c>
      <c r="O745" s="5">
        <f>5*6.5/2/H745</f>
        <v>0.25467911655732606</v>
      </c>
      <c r="P745" s="5">
        <v>0</v>
      </c>
    </row>
    <row r="746" spans="1:16" x14ac:dyDescent="0.25">
      <c r="A746" t="s">
        <v>901</v>
      </c>
      <c r="B746" s="5">
        <v>40.276000000000003</v>
      </c>
      <c r="C746" s="5">
        <v>-79.400000000000006</v>
      </c>
      <c r="D746" s="5" t="s">
        <v>1878</v>
      </c>
      <c r="E746" s="5">
        <v>1</v>
      </c>
      <c r="F746" s="7">
        <v>0</v>
      </c>
      <c r="G746">
        <f>25.7/2</f>
        <v>12.85</v>
      </c>
      <c r="H746" s="5">
        <f>3.14*G746*G746/8</f>
        <v>64.810581249999998</v>
      </c>
      <c r="I746">
        <f>6*5/2/H746</f>
        <v>0.23144368883437533</v>
      </c>
      <c r="J746">
        <f>9/H746</f>
        <v>0.13886621330062521</v>
      </c>
      <c r="K746">
        <f>7/H746</f>
        <v>0.10800705478937515</v>
      </c>
      <c r="L746">
        <f>2/H746</f>
        <v>3.0859158511250043E-2</v>
      </c>
      <c r="M746">
        <f>9*3/2/H746</f>
        <v>0.20829931995093781</v>
      </c>
      <c r="N746">
        <v>0</v>
      </c>
      <c r="O746">
        <f>3*5.5/2/H746</f>
        <v>0.12729402885890642</v>
      </c>
      <c r="P746">
        <f>6*8.5/2/H746</f>
        <v>0.39345427101843805</v>
      </c>
    </row>
    <row r="747" spans="1:16" x14ac:dyDescent="0.25">
      <c r="A747" t="s">
        <v>701</v>
      </c>
      <c r="B747" s="5">
        <v>40.277000000000001</v>
      </c>
      <c r="C747" s="5">
        <v>-74.813999999999993</v>
      </c>
      <c r="D747" s="5" t="s">
        <v>1672</v>
      </c>
      <c r="E747" s="5">
        <v>1</v>
      </c>
      <c r="F747" s="7">
        <v>1</v>
      </c>
      <c r="G747">
        <v>12.5</v>
      </c>
      <c r="H747" s="5">
        <f t="shared" si="21"/>
        <v>61.328125</v>
      </c>
      <c r="I747">
        <v>0</v>
      </c>
      <c r="J747">
        <v>0</v>
      </c>
      <c r="K747">
        <v>0</v>
      </c>
      <c r="L747">
        <v>0</v>
      </c>
      <c r="M747">
        <v>0</v>
      </c>
      <c r="N747">
        <f>7*5.5/2/H747</f>
        <v>0.31388535031847131</v>
      </c>
      <c r="O747">
        <f>7*2.6/H747</f>
        <v>0.29676433121019108</v>
      </c>
      <c r="P747">
        <f>4*3/H747</f>
        <v>0.19566878980891719</v>
      </c>
    </row>
    <row r="748" spans="1:16" x14ac:dyDescent="0.25">
      <c r="A748" t="s">
        <v>892</v>
      </c>
      <c r="B748" s="5">
        <v>40.299999999999997</v>
      </c>
      <c r="C748" s="5">
        <v>-78.316999999999993</v>
      </c>
      <c r="D748" s="5" t="s">
        <v>1856</v>
      </c>
      <c r="E748">
        <v>1</v>
      </c>
      <c r="F748" s="7">
        <v>1</v>
      </c>
      <c r="G748" s="5">
        <f>23/2</f>
        <v>11.5</v>
      </c>
      <c r="H748" s="5">
        <f t="shared" si="21"/>
        <v>51.908124999999998</v>
      </c>
      <c r="I748" s="5">
        <v>0</v>
      </c>
      <c r="J748" s="5">
        <f>2/H748</f>
        <v>3.8529613620218416E-2</v>
      </c>
      <c r="K748" s="5">
        <f>3/H748</f>
        <v>5.7794420430327627E-2</v>
      </c>
      <c r="L748" s="5">
        <f>2/H748</f>
        <v>3.8529613620218416E-2</v>
      </c>
      <c r="M748" s="5">
        <f>1/H748</f>
        <v>1.9264806810109208E-2</v>
      </c>
      <c r="N748" s="5">
        <v>0</v>
      </c>
      <c r="O748" s="5">
        <v>0</v>
      </c>
      <c r="P748" s="5">
        <f>2/H748</f>
        <v>3.8529613620218416E-2</v>
      </c>
    </row>
    <row r="749" spans="1:16" x14ac:dyDescent="0.25">
      <c r="A749" t="s">
        <v>665</v>
      </c>
      <c r="B749" s="5">
        <v>40.301000000000002</v>
      </c>
      <c r="C749" s="5">
        <v>-96.75</v>
      </c>
      <c r="D749" s="5" t="s">
        <v>1951</v>
      </c>
      <c r="E749" s="5">
        <v>1</v>
      </c>
      <c r="F749" s="7">
        <v>0</v>
      </c>
      <c r="G749">
        <v>10.5</v>
      </c>
      <c r="H749" s="5">
        <f t="shared" si="21"/>
        <v>43.273125</v>
      </c>
      <c r="I749">
        <v>0</v>
      </c>
      <c r="J749" s="5">
        <f>1.5/H749</f>
        <v>3.46635469474414E-2</v>
      </c>
      <c r="K749" s="5">
        <f>4*3.5/2/H749</f>
        <v>0.16176321908805985</v>
      </c>
      <c r="L749" s="5">
        <f>1/H749</f>
        <v>2.3109031298294263E-2</v>
      </c>
      <c r="M749" s="5">
        <v>0</v>
      </c>
      <c r="N749" s="5">
        <v>0</v>
      </c>
      <c r="O749" s="5">
        <v>0</v>
      </c>
      <c r="P749" s="5">
        <v>0</v>
      </c>
    </row>
    <row r="750" spans="1:16" x14ac:dyDescent="0.25">
      <c r="A750" t="s">
        <v>893</v>
      </c>
      <c r="B750" s="5">
        <v>40.301000000000002</v>
      </c>
      <c r="C750" s="5">
        <v>-78.834000000000003</v>
      </c>
      <c r="D750" s="5" t="s">
        <v>1857</v>
      </c>
      <c r="E750" s="5">
        <v>1</v>
      </c>
      <c r="F750" s="7">
        <v>0</v>
      </c>
      <c r="G750">
        <f>22.5/2</f>
        <v>11.25</v>
      </c>
      <c r="H750" s="5">
        <f t="shared" si="21"/>
        <v>49.675781250000007</v>
      </c>
      <c r="I750">
        <f>9/H750</f>
        <v>0.18117480537862701</v>
      </c>
      <c r="J750">
        <v>0</v>
      </c>
      <c r="K750">
        <f>3*5/2/H750</f>
        <v>0.15097900448218918</v>
      </c>
      <c r="L750">
        <f>1.5*4/H750</f>
        <v>0.12078320358575134</v>
      </c>
      <c r="M750">
        <f>4.5*1.5/2/H750</f>
        <v>6.7940552016985123E-2</v>
      </c>
      <c r="N750">
        <f>1/H750</f>
        <v>2.0130533930958556E-2</v>
      </c>
      <c r="O750">
        <f>5*6.5/2/H750</f>
        <v>0.32712117637807653</v>
      </c>
      <c r="P750">
        <v>0</v>
      </c>
    </row>
    <row r="751" spans="1:16" x14ac:dyDescent="0.25">
      <c r="A751" t="s">
        <v>885</v>
      </c>
      <c r="B751">
        <v>40.33</v>
      </c>
      <c r="C751">
        <v>-75.123000000000005</v>
      </c>
      <c r="D751" t="s">
        <v>1850</v>
      </c>
      <c r="E751" s="5">
        <v>1</v>
      </c>
      <c r="F751" s="7">
        <v>1</v>
      </c>
      <c r="G751">
        <v>10</v>
      </c>
      <c r="H751" s="5">
        <f t="shared" si="21"/>
        <v>39.25</v>
      </c>
      <c r="I751">
        <f>1.5/H751</f>
        <v>3.8216560509554139E-2</v>
      </c>
      <c r="J751">
        <f>7*4.5/2/H751</f>
        <v>0.40127388535031849</v>
      </c>
      <c r="K751">
        <f>10.5*5.5/2/H751</f>
        <v>0.73566878980891715</v>
      </c>
      <c r="L751">
        <f>4*3.5/H751</f>
        <v>0.35668789808917195</v>
      </c>
      <c r="M751">
        <f>7.5*4.5/2/H751</f>
        <v>0.42993630573248409</v>
      </c>
      <c r="N751">
        <f>8*4/2/H751</f>
        <v>0.40764331210191085</v>
      </c>
      <c r="O751">
        <f>2.5*3.5/H751</f>
        <v>0.22292993630573249</v>
      </c>
      <c r="P751">
        <f>2*3.5/H751</f>
        <v>0.17834394904458598</v>
      </c>
    </row>
    <row r="752" spans="1:16" x14ac:dyDescent="0.25">
      <c r="A752" t="s">
        <v>900</v>
      </c>
      <c r="B752" s="5">
        <v>40.354999999999997</v>
      </c>
      <c r="C752" s="5">
        <v>-79.921999999999997</v>
      </c>
      <c r="D752" s="5" t="s">
        <v>1877</v>
      </c>
      <c r="E752" s="5">
        <v>1</v>
      </c>
      <c r="F752" s="7">
        <v>1</v>
      </c>
      <c r="G752">
        <f>19.5/2</f>
        <v>9.75</v>
      </c>
      <c r="H752" s="5">
        <f t="shared" si="21"/>
        <v>37.312031250000004</v>
      </c>
      <c r="I752">
        <f>(H752-2.8*3.5/2)/H752</f>
        <v>0.86867506710720832</v>
      </c>
      <c r="J752">
        <f>(H752-3.4*4/2)/H752</f>
        <v>0.81775315435286033</v>
      </c>
      <c r="K752">
        <f>6*1.7/2/H752</f>
        <v>0.13668513423535469</v>
      </c>
      <c r="L752">
        <f>3.3*4.4/2/H752</f>
        <v>0.19457530873503434</v>
      </c>
      <c r="M752">
        <f>7*2.5/2/H752</f>
        <v>0.23450880873712818</v>
      </c>
      <c r="N752">
        <f>2*1.3/2/H752</f>
        <v>3.484130872665904E-2</v>
      </c>
      <c r="O752">
        <f>9.5*2.5/2/H752</f>
        <v>0.31826195471467394</v>
      </c>
      <c r="P752">
        <f>(H752-2)/H752</f>
        <v>0.94639798657437069</v>
      </c>
    </row>
    <row r="753" spans="1:16" x14ac:dyDescent="0.25">
      <c r="A753" t="s">
        <v>879</v>
      </c>
      <c r="B753" s="1">
        <v>40.372999999999998</v>
      </c>
      <c r="C753" s="1">
        <v>-75.959000000000003</v>
      </c>
      <c r="D753" s="1" t="s">
        <v>1844</v>
      </c>
      <c r="E753" s="5">
        <v>1</v>
      </c>
      <c r="F753" s="7">
        <v>0</v>
      </c>
      <c r="G753" s="5">
        <f>22.3/2</f>
        <v>11.15</v>
      </c>
      <c r="H753" s="5">
        <f t="shared" ref="H753:H771" si="22">3.14*G753*G753/8</f>
        <v>48.796581250000003</v>
      </c>
      <c r="I753" s="5">
        <v>0</v>
      </c>
      <c r="J753" s="5">
        <f>3.5*6.5/2/H753</f>
        <v>0.23311059317295921</v>
      </c>
      <c r="K753" s="5">
        <f>4.5*3/H753</f>
        <v>0.27665872596351204</v>
      </c>
      <c r="L753" s="5">
        <v>0</v>
      </c>
      <c r="M753" s="5">
        <f>2/H753</f>
        <v>4.0986477920520299E-2</v>
      </c>
      <c r="N753" s="5">
        <v>0</v>
      </c>
      <c r="O753" s="5">
        <v>0</v>
      </c>
      <c r="P753" s="5">
        <f>0.4/H753</f>
        <v>8.1972955841040605E-3</v>
      </c>
    </row>
    <row r="754" spans="1:16" x14ac:dyDescent="0.25">
      <c r="A754" t="s">
        <v>878</v>
      </c>
      <c r="B754" s="1">
        <v>40.372999999999998</v>
      </c>
      <c r="C754" s="1">
        <v>-75.959000000000003</v>
      </c>
      <c r="D754" s="1" t="s">
        <v>1843</v>
      </c>
      <c r="E754">
        <v>1</v>
      </c>
      <c r="F754" s="7">
        <v>0</v>
      </c>
      <c r="G754">
        <f>22.3/2</f>
        <v>11.15</v>
      </c>
      <c r="H754" s="5">
        <f t="shared" si="22"/>
        <v>48.796581250000003</v>
      </c>
      <c r="I754">
        <v>0</v>
      </c>
      <c r="J754" s="5">
        <f>3.5*6.5/2/H754</f>
        <v>0.23311059317295921</v>
      </c>
      <c r="K754" s="5">
        <f>4.5*3/H754</f>
        <v>0.27665872596351204</v>
      </c>
      <c r="L754" s="5">
        <v>0</v>
      </c>
      <c r="M754" s="5">
        <f>2/H754</f>
        <v>4.0986477920520299E-2</v>
      </c>
      <c r="N754" s="5">
        <v>0</v>
      </c>
      <c r="O754" s="5">
        <v>0</v>
      </c>
      <c r="P754" s="5">
        <f>0.4/H754</f>
        <v>8.1972955841040605E-3</v>
      </c>
    </row>
    <row r="755" spans="1:16" x14ac:dyDescent="0.25">
      <c r="A755" t="s">
        <v>414</v>
      </c>
      <c r="B755">
        <v>40.411999999999999</v>
      </c>
      <c r="C755">
        <v>-86.936999999999998</v>
      </c>
      <c r="D755" t="s">
        <v>1722</v>
      </c>
      <c r="E755" s="5">
        <v>1</v>
      </c>
      <c r="F755" s="7">
        <v>0</v>
      </c>
      <c r="G755">
        <v>12</v>
      </c>
      <c r="H755" s="5">
        <f t="shared" si="22"/>
        <v>56.519999999999996</v>
      </c>
      <c r="I755">
        <f>4.5*3/2/H755</f>
        <v>0.1194267515923567</v>
      </c>
      <c r="J755">
        <f>3*3.5/2/H755</f>
        <v>9.2887473460721875E-2</v>
      </c>
      <c r="K755">
        <v>0</v>
      </c>
      <c r="L755" s="5">
        <v>0</v>
      </c>
      <c r="M755" s="5">
        <v>0</v>
      </c>
      <c r="N755" s="5">
        <v>0</v>
      </c>
      <c r="O755" s="5">
        <v>0</v>
      </c>
      <c r="P755">
        <f>2.5/H755</f>
        <v>4.4232130219391368E-2</v>
      </c>
    </row>
    <row r="756" spans="1:16" x14ac:dyDescent="0.25">
      <c r="A756" t="s">
        <v>896</v>
      </c>
      <c r="B756" s="5">
        <v>40.435000000000002</v>
      </c>
      <c r="C756" s="5">
        <v>-76.569000000000003</v>
      </c>
      <c r="D756" s="5" t="s">
        <v>1860</v>
      </c>
      <c r="E756" s="5">
        <v>1</v>
      </c>
      <c r="F756" s="7">
        <v>0</v>
      </c>
      <c r="G756">
        <f>18.3/2</f>
        <v>9.15</v>
      </c>
      <c r="H756" s="5">
        <f t="shared" si="22"/>
        <v>32.861081250000005</v>
      </c>
      <c r="I756">
        <f>3*3/2/H756</f>
        <v>0.13694010753221941</v>
      </c>
      <c r="J756">
        <f>0.6/H756</f>
        <v>1.825868100429592E-2</v>
      </c>
      <c r="K756">
        <v>0</v>
      </c>
      <c r="L756">
        <f>2/H756</f>
        <v>6.0862270014319743E-2</v>
      </c>
      <c r="M756">
        <f>2/H756</f>
        <v>6.0862270014319743E-2</v>
      </c>
      <c r="N756">
        <f>0.3/H756</f>
        <v>9.12934050214796E-3</v>
      </c>
      <c r="O756">
        <v>0</v>
      </c>
      <c r="P756">
        <f>4.5*2.5/2/H756</f>
        <v>0.17117513441527427</v>
      </c>
    </row>
    <row r="757" spans="1:16" x14ac:dyDescent="0.25">
      <c r="A757" t="s">
        <v>226</v>
      </c>
      <c r="B757">
        <v>40.436</v>
      </c>
      <c r="C757">
        <v>-104.61799999999999</v>
      </c>
      <c r="D757" t="s">
        <v>1772</v>
      </c>
      <c r="E757" s="5">
        <v>1</v>
      </c>
      <c r="F757" s="7">
        <v>0</v>
      </c>
      <c r="G757">
        <v>12.5</v>
      </c>
      <c r="H757" s="5">
        <f t="shared" si="22"/>
        <v>61.328125</v>
      </c>
      <c r="I757">
        <v>0</v>
      </c>
      <c r="J757">
        <v>0</v>
      </c>
      <c r="K757">
        <v>0</v>
      </c>
      <c r="L757">
        <v>0</v>
      </c>
      <c r="M757" s="5">
        <f>3/H757</f>
        <v>4.8917197452229298E-2</v>
      </c>
      <c r="N757" s="5">
        <f>9*3.5/2/H757</f>
        <v>0.25681528662420383</v>
      </c>
      <c r="O757" s="5">
        <v>0</v>
      </c>
      <c r="P757" s="5">
        <v>0</v>
      </c>
    </row>
    <row r="758" spans="1:16" x14ac:dyDescent="0.25">
      <c r="A758" t="s">
        <v>1058</v>
      </c>
      <c r="B758">
        <v>40.441000000000003</v>
      </c>
      <c r="C758">
        <v>-109.509</v>
      </c>
      <c r="D758" t="s">
        <v>1976</v>
      </c>
      <c r="E758" s="5">
        <v>1</v>
      </c>
      <c r="F758" s="7">
        <v>1</v>
      </c>
      <c r="G758">
        <f>22.4/2</f>
        <v>11.2</v>
      </c>
      <c r="H758" s="5">
        <f t="shared" si="22"/>
        <v>49.235199999999999</v>
      </c>
      <c r="I758">
        <v>0</v>
      </c>
      <c r="J758">
        <v>0</v>
      </c>
      <c r="K758" s="5">
        <v>0</v>
      </c>
      <c r="L758" s="5">
        <f>0.5/H758</f>
        <v>1.0155336019758222E-2</v>
      </c>
      <c r="M758" s="5">
        <f>2/H758</f>
        <v>4.0621344079032888E-2</v>
      </c>
      <c r="N758" s="5">
        <f>2/H758</f>
        <v>4.0621344079032888E-2</v>
      </c>
      <c r="O758" s="5">
        <f>4.5/H758</f>
        <v>9.1398024177824E-2</v>
      </c>
      <c r="P758" s="5">
        <f>0.5/H758</f>
        <v>1.0155336019758222E-2</v>
      </c>
    </row>
    <row r="759" spans="1:16" x14ac:dyDescent="0.25">
      <c r="A759" t="s">
        <v>812</v>
      </c>
      <c r="B759">
        <v>40.47</v>
      </c>
      <c r="C759">
        <v>-81.42</v>
      </c>
      <c r="D759" t="s">
        <v>1884</v>
      </c>
      <c r="E759" s="5">
        <v>1</v>
      </c>
      <c r="F759" s="7">
        <v>1</v>
      </c>
      <c r="G759">
        <f>23/2</f>
        <v>11.5</v>
      </c>
      <c r="H759" s="5">
        <f t="shared" si="22"/>
        <v>51.908124999999998</v>
      </c>
      <c r="I759">
        <f>4.5*7/2/H759</f>
        <v>0.30342070725922005</v>
      </c>
      <c r="J759">
        <f>(H759-9*5/2)/H759</f>
        <v>0.56654184677254282</v>
      </c>
      <c r="K759">
        <f>5.5*3/2/H759</f>
        <v>0.15893465618340097</v>
      </c>
      <c r="L759">
        <f>5*3/2/H759</f>
        <v>0.14448605107581905</v>
      </c>
      <c r="M759">
        <f>5*5/2/H759</f>
        <v>0.24081008512636509</v>
      </c>
      <c r="N759">
        <f>73.5*4.5/2/H759</f>
        <v>3.1859174262218102</v>
      </c>
      <c r="O759">
        <f>3*8.5/2/H759</f>
        <v>0.2456262868288924</v>
      </c>
      <c r="P759">
        <f>2.5/H759</f>
        <v>4.8162017025273021E-2</v>
      </c>
    </row>
    <row r="760" spans="1:16" x14ac:dyDescent="0.25">
      <c r="A760" t="s">
        <v>387</v>
      </c>
      <c r="B760">
        <v>40.478000000000002</v>
      </c>
      <c r="C760">
        <v>-88.915999999999997</v>
      </c>
      <c r="D760" t="s">
        <v>1727</v>
      </c>
      <c r="E760" s="5">
        <v>1</v>
      </c>
      <c r="F760" s="7">
        <v>0</v>
      </c>
      <c r="G760">
        <f>25.7/2</f>
        <v>12.85</v>
      </c>
      <c r="H760" s="5">
        <f t="shared" si="22"/>
        <v>64.810581249999998</v>
      </c>
      <c r="I760">
        <v>0</v>
      </c>
      <c r="J760" s="5">
        <v>0</v>
      </c>
      <c r="K760" s="5">
        <v>0</v>
      </c>
      <c r="L760" s="5">
        <v>0</v>
      </c>
      <c r="M760">
        <f>7*8/2/H760</f>
        <v>0.43202821915750061</v>
      </c>
      <c r="N760" s="5">
        <f>4*6.5/2/H760</f>
        <v>0.20058453032312529</v>
      </c>
      <c r="O760" s="5">
        <v>0</v>
      </c>
      <c r="P760" s="5">
        <v>0</v>
      </c>
    </row>
    <row r="761" spans="1:16" x14ac:dyDescent="0.25">
      <c r="A761" t="s">
        <v>228</v>
      </c>
      <c r="B761" s="5">
        <v>40.481000000000002</v>
      </c>
      <c r="C761" s="5">
        <v>-107.217</v>
      </c>
      <c r="D761" s="5" t="s">
        <v>1977</v>
      </c>
      <c r="E761" s="5">
        <v>1</v>
      </c>
      <c r="F761" s="7">
        <v>0</v>
      </c>
      <c r="G761">
        <f>23.7/2</f>
        <v>11.85</v>
      </c>
      <c r="H761" s="5">
        <f t="shared" si="22"/>
        <v>55.115831250000006</v>
      </c>
      <c r="I761">
        <f>0.6*5/H761</f>
        <v>5.4430821997264164E-2</v>
      </c>
      <c r="J761">
        <v>0</v>
      </c>
      <c r="K761">
        <v>0</v>
      </c>
      <c r="L761">
        <v>0</v>
      </c>
      <c r="M761">
        <v>0</v>
      </c>
      <c r="N761">
        <v>0</v>
      </c>
      <c r="O761">
        <f>0.5/H761</f>
        <v>9.0718036662106941E-3</v>
      </c>
      <c r="P761">
        <v>0</v>
      </c>
    </row>
    <row r="762" spans="1:16" x14ac:dyDescent="0.25">
      <c r="A762" t="s">
        <v>898</v>
      </c>
      <c r="B762" s="5">
        <v>40.500999999999998</v>
      </c>
      <c r="C762" s="5">
        <v>-80.230999999999995</v>
      </c>
      <c r="D762" s="5" t="s">
        <v>1875</v>
      </c>
      <c r="E762" s="5">
        <v>1</v>
      </c>
      <c r="F762" s="7">
        <v>1</v>
      </c>
      <c r="G762">
        <f>18.2/2</f>
        <v>9.1</v>
      </c>
      <c r="H762" s="5">
        <f t="shared" si="22"/>
        <v>32.502924999999998</v>
      </c>
      <c r="I762">
        <v>0</v>
      </c>
      <c r="J762">
        <f>2/H762</f>
        <v>6.1532923575339765E-2</v>
      </c>
      <c r="K762">
        <v>0</v>
      </c>
      <c r="L762">
        <f>0.3/H762</f>
        <v>9.2299385363009637E-3</v>
      </c>
      <c r="M762">
        <f>4*7/2/H762</f>
        <v>0.43073046502737833</v>
      </c>
      <c r="N762">
        <f>3.5*5.5/2/H762</f>
        <v>0.29612719470632259</v>
      </c>
      <c r="O762">
        <f>4*3/2/H762</f>
        <v>0.1845987707260193</v>
      </c>
      <c r="P762">
        <v>0</v>
      </c>
    </row>
    <row r="763" spans="1:16" x14ac:dyDescent="0.25">
      <c r="A763" t="s">
        <v>680</v>
      </c>
      <c r="B763">
        <v>40.51</v>
      </c>
      <c r="C763">
        <v>-101.62</v>
      </c>
      <c r="D763" t="s">
        <v>1967</v>
      </c>
      <c r="E763" s="5">
        <v>1</v>
      </c>
      <c r="F763" s="7">
        <v>0</v>
      </c>
      <c r="G763">
        <f>19.6/2</f>
        <v>9.8000000000000007</v>
      </c>
      <c r="H763" s="5">
        <f t="shared" si="22"/>
        <v>37.695700000000002</v>
      </c>
      <c r="I763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f>1/H763</f>
        <v>2.6528224704674537E-2</v>
      </c>
      <c r="P763" s="5">
        <v>0</v>
      </c>
    </row>
    <row r="764" spans="1:16" x14ac:dyDescent="0.25">
      <c r="A764" t="s">
        <v>177</v>
      </c>
      <c r="B764" s="1">
        <v>40.515000000000001</v>
      </c>
      <c r="C764" s="1">
        <v>-122.313</v>
      </c>
      <c r="D764" s="1" t="s">
        <v>2312</v>
      </c>
      <c r="E764">
        <v>1</v>
      </c>
      <c r="F764" s="7">
        <v>1</v>
      </c>
      <c r="G764" s="5">
        <f>18.8/2</f>
        <v>9.4</v>
      </c>
      <c r="H764" s="5">
        <f t="shared" si="22"/>
        <v>34.6813</v>
      </c>
      <c r="I764" s="5">
        <f>4.5*2/2/H764</f>
        <v>0.12975292160328478</v>
      </c>
      <c r="J764" s="5">
        <v>0</v>
      </c>
      <c r="K764" s="5">
        <v>0</v>
      </c>
      <c r="L764" s="5">
        <v>0</v>
      </c>
      <c r="M764" s="5">
        <f>0.3/H764</f>
        <v>8.6501947735523176E-3</v>
      </c>
      <c r="N764" s="5">
        <f>5.5*2.5/2/H764</f>
        <v>0.19823363022724061</v>
      </c>
      <c r="O764" s="5">
        <f>6*4.5/2/H764</f>
        <v>0.38925876480985427</v>
      </c>
      <c r="P764" s="5">
        <f>7*6.5/2/H764</f>
        <v>0.65597310366105077</v>
      </c>
    </row>
    <row r="765" spans="1:16" x14ac:dyDescent="0.25">
      <c r="A765" t="s">
        <v>176</v>
      </c>
      <c r="B765" s="1">
        <v>40.515000000000001</v>
      </c>
      <c r="C765" s="1">
        <v>-122.313</v>
      </c>
      <c r="D765" s="1" t="s">
        <v>2007</v>
      </c>
      <c r="E765" s="5">
        <v>1</v>
      </c>
      <c r="F765" s="7">
        <v>1</v>
      </c>
      <c r="G765">
        <f>18.8/2</f>
        <v>9.4</v>
      </c>
      <c r="H765" s="5">
        <f t="shared" si="22"/>
        <v>34.6813</v>
      </c>
      <c r="I765">
        <f>4.5*2/2/H765</f>
        <v>0.12975292160328478</v>
      </c>
      <c r="J765">
        <v>0</v>
      </c>
      <c r="K765">
        <v>0</v>
      </c>
      <c r="L765">
        <v>0</v>
      </c>
      <c r="M765">
        <f>0.3/H765</f>
        <v>8.6501947735523176E-3</v>
      </c>
      <c r="N765">
        <f>5.5*2.5/2/H765</f>
        <v>0.19823363022724061</v>
      </c>
      <c r="O765" s="5">
        <f>6*4.5/2/H765</f>
        <v>0.38925876480985427</v>
      </c>
      <c r="P765" s="5">
        <f>7*6.5/2/H765</f>
        <v>0.65597310366105077</v>
      </c>
    </row>
    <row r="766" spans="1:16" x14ac:dyDescent="0.25">
      <c r="A766" t="s">
        <v>754</v>
      </c>
      <c r="B766" s="5">
        <v>40.598999999999997</v>
      </c>
      <c r="C766" s="5">
        <v>-116.867</v>
      </c>
      <c r="D766" t="s">
        <v>1996</v>
      </c>
      <c r="E766" s="5">
        <v>1</v>
      </c>
      <c r="F766" s="7">
        <v>0</v>
      </c>
      <c r="G766">
        <f>22.4/2</f>
        <v>11.2</v>
      </c>
      <c r="H766" s="5">
        <f t="shared" si="22"/>
        <v>49.235199999999999</v>
      </c>
      <c r="I766">
        <v>0</v>
      </c>
      <c r="J766">
        <v>0</v>
      </c>
      <c r="K766">
        <v>0</v>
      </c>
      <c r="L766" s="5">
        <v>0</v>
      </c>
      <c r="M766" s="5">
        <f>4*5/2/H766</f>
        <v>0.20310672039516445</v>
      </c>
      <c r="N766" s="5">
        <f>0.5/H766</f>
        <v>1.0155336019758222E-2</v>
      </c>
      <c r="O766" s="5">
        <v>0</v>
      </c>
      <c r="P766">
        <v>0</v>
      </c>
    </row>
    <row r="767" spans="1:16" x14ac:dyDescent="0.25">
      <c r="A767" t="s">
        <v>668</v>
      </c>
      <c r="B767">
        <v>40.603999999999999</v>
      </c>
      <c r="C767">
        <v>-98.427000000000007</v>
      </c>
      <c r="D767" t="s">
        <v>1954</v>
      </c>
      <c r="E767" s="5">
        <v>1</v>
      </c>
      <c r="F767" s="7">
        <v>1</v>
      </c>
      <c r="G767">
        <f>23/2</f>
        <v>11.5</v>
      </c>
      <c r="H767" s="5">
        <f t="shared" si="22"/>
        <v>51.908124999999998</v>
      </c>
      <c r="I767">
        <v>0</v>
      </c>
      <c r="J767" s="5">
        <v>0</v>
      </c>
      <c r="K767" s="5">
        <v>0</v>
      </c>
      <c r="L767" s="5">
        <v>0</v>
      </c>
      <c r="M767" s="5">
        <f>4/H767</f>
        <v>7.7059227240436831E-2</v>
      </c>
      <c r="N767" s="5">
        <f>5/H767</f>
        <v>9.6324034050546042E-2</v>
      </c>
      <c r="O767" s="5">
        <f>1.5/H767</f>
        <v>2.8897210215163813E-2</v>
      </c>
      <c r="P767" s="5">
        <v>0</v>
      </c>
    </row>
    <row r="768" spans="1:16" x14ac:dyDescent="0.25">
      <c r="A768" t="s">
        <v>807</v>
      </c>
      <c r="B768">
        <v>40.616</v>
      </c>
      <c r="C768">
        <v>-83.063999999999993</v>
      </c>
      <c r="D768" t="s">
        <v>1879</v>
      </c>
      <c r="E768" s="5">
        <v>1</v>
      </c>
      <c r="F768" s="7">
        <v>1</v>
      </c>
      <c r="G768">
        <v>11</v>
      </c>
      <c r="H768" s="5">
        <f t="shared" si="22"/>
        <v>47.4925</v>
      </c>
      <c r="I768">
        <v>0</v>
      </c>
      <c r="J768">
        <v>0</v>
      </c>
      <c r="K768">
        <v>0</v>
      </c>
      <c r="L768">
        <v>0</v>
      </c>
      <c r="M768">
        <v>0</v>
      </c>
      <c r="N768">
        <f>1.5/H768</f>
        <v>3.1583934305416644E-2</v>
      </c>
      <c r="O768">
        <f>2/H768</f>
        <v>4.2111912407222195E-2</v>
      </c>
      <c r="P768">
        <f>3.5/H768</f>
        <v>7.3695846712638832E-2</v>
      </c>
    </row>
    <row r="769" spans="1:16" x14ac:dyDescent="0.25">
      <c r="A769" t="s">
        <v>360</v>
      </c>
      <c r="B769">
        <v>40.633000000000003</v>
      </c>
      <c r="C769">
        <v>-93.902000000000001</v>
      </c>
      <c r="D769" t="s">
        <v>1947</v>
      </c>
      <c r="E769" s="5">
        <v>1</v>
      </c>
      <c r="F769" s="7">
        <v>1</v>
      </c>
      <c r="G769">
        <f>23/2</f>
        <v>11.5</v>
      </c>
      <c r="H769" s="5">
        <f t="shared" si="22"/>
        <v>51.908124999999998</v>
      </c>
      <c r="I769">
        <f>3/H769</f>
        <v>5.7794420430327627E-2</v>
      </c>
      <c r="J769">
        <f>2/H769</f>
        <v>3.8529613620218416E-2</v>
      </c>
      <c r="K769">
        <f>4/H769</f>
        <v>7.7059227240436831E-2</v>
      </c>
      <c r="L769">
        <f>7/H769</f>
        <v>0.13485364767076446</v>
      </c>
      <c r="M769">
        <f>1.8/H769</f>
        <v>3.4676652258196577E-2</v>
      </c>
      <c r="N769">
        <f>1/H769</f>
        <v>1.9264806810109208E-2</v>
      </c>
      <c r="O769">
        <f>0.7/H769</f>
        <v>1.3485364767076445E-2</v>
      </c>
      <c r="P769">
        <v>0</v>
      </c>
    </row>
    <row r="770" spans="1:16" x14ac:dyDescent="0.25">
      <c r="A770" t="s">
        <v>704</v>
      </c>
      <c r="B770">
        <v>40.633000000000003</v>
      </c>
      <c r="C770">
        <v>-74.667000000000002</v>
      </c>
      <c r="D770" t="s">
        <v>1676</v>
      </c>
      <c r="E770" s="5">
        <v>1</v>
      </c>
      <c r="F770" s="7">
        <v>0</v>
      </c>
      <c r="G770">
        <f>23.2/2</f>
        <v>11.6</v>
      </c>
      <c r="H770" s="5">
        <f t="shared" si="22"/>
        <v>52.814799999999998</v>
      </c>
      <c r="I770">
        <f>9.5*9/2/H770</f>
        <v>0.80943220460931409</v>
      </c>
      <c r="J770">
        <f>4.5*8/2/H770</f>
        <v>0.34081355983550066</v>
      </c>
      <c r="K770">
        <f>3.5*6/H770</f>
        <v>0.39761581980808414</v>
      </c>
      <c r="L770">
        <f>0.5/H770</f>
        <v>9.4670433287639081E-3</v>
      </c>
      <c r="M770">
        <f>4.7*8/2/H770</f>
        <v>0.35596082916152294</v>
      </c>
      <c r="N770">
        <f>(H770-4.5*2.5/2)/H770</f>
        <v>0.89349576255140606</v>
      </c>
      <c r="O770">
        <f>10*8/2/H770</f>
        <v>0.75736346630111262</v>
      </c>
      <c r="P770">
        <f>8.5*4/2/H770</f>
        <v>0.32187947317797283</v>
      </c>
    </row>
    <row r="771" spans="1:16" x14ac:dyDescent="0.25">
      <c r="A771" t="s">
        <v>418</v>
      </c>
      <c r="B771" s="5">
        <v>40.648000000000003</v>
      </c>
      <c r="C771" s="5">
        <v>-86.152000000000001</v>
      </c>
      <c r="D771" s="5" t="s">
        <v>1910</v>
      </c>
      <c r="E771" s="5">
        <v>1</v>
      </c>
      <c r="F771" s="7">
        <v>0</v>
      </c>
      <c r="G771">
        <f>21.6/2</f>
        <v>10.8</v>
      </c>
      <c r="H771" s="5">
        <f t="shared" si="22"/>
        <v>45.781200000000013</v>
      </c>
      <c r="I771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</row>
    <row r="772" spans="1:16" x14ac:dyDescent="0.25">
      <c r="A772" t="s">
        <v>897</v>
      </c>
      <c r="B772" s="5">
        <v>40.651000000000003</v>
      </c>
      <c r="C772" s="5">
        <v>-75.448999999999998</v>
      </c>
      <c r="D772" s="5" t="s">
        <v>1867</v>
      </c>
      <c r="E772" s="5">
        <v>1</v>
      </c>
      <c r="F772" s="7">
        <v>1</v>
      </c>
      <c r="G772">
        <f>23/2</f>
        <v>11.5</v>
      </c>
      <c r="H772" s="5">
        <f t="shared" ref="H772:H806" si="23">3.14*G772*G772/8</f>
        <v>51.908124999999998</v>
      </c>
      <c r="I772">
        <f>0.5*0.5/H772</f>
        <v>4.8162017025273019E-3</v>
      </c>
      <c r="J772">
        <v>0</v>
      </c>
      <c r="K772">
        <f>5*5/2/H772</f>
        <v>0.24081008512636509</v>
      </c>
      <c r="L772">
        <f>3.4*4/H772</f>
        <v>0.26200137261748524</v>
      </c>
      <c r="M772">
        <f>3.6*7.5/2/H772</f>
        <v>0.26007489193647432</v>
      </c>
      <c r="N772">
        <v>0</v>
      </c>
      <c r="O772">
        <f>2.5*3/H772</f>
        <v>0.14448605107581905</v>
      </c>
      <c r="P772">
        <v>0</v>
      </c>
    </row>
    <row r="773" spans="1:16" x14ac:dyDescent="0.25">
      <c r="A773" t="s">
        <v>790</v>
      </c>
      <c r="B773">
        <v>40.655000000000001</v>
      </c>
      <c r="C773">
        <v>-73.796000000000006</v>
      </c>
      <c r="D773" t="s">
        <v>2234</v>
      </c>
      <c r="E773" s="5">
        <v>1</v>
      </c>
      <c r="F773" s="7">
        <v>1</v>
      </c>
      <c r="G773">
        <f>20.5/2</f>
        <v>10.25</v>
      </c>
      <c r="H773" s="5">
        <f t="shared" si="23"/>
        <v>41.237031250000001</v>
      </c>
      <c r="I773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>
        <v>0</v>
      </c>
    </row>
    <row r="774" spans="1:16" x14ac:dyDescent="0.25">
      <c r="A774" t="s">
        <v>396</v>
      </c>
      <c r="B774" s="5">
        <v>40.667999999999999</v>
      </c>
      <c r="C774" s="5">
        <v>-89.683999999999997</v>
      </c>
      <c r="D774" s="5" t="s">
        <v>1907</v>
      </c>
      <c r="E774" s="5">
        <v>1</v>
      </c>
      <c r="F774" s="7">
        <v>1</v>
      </c>
      <c r="G774">
        <f>19.4/2</f>
        <v>9.6999999999999993</v>
      </c>
      <c r="H774" s="5">
        <f t="shared" si="23"/>
        <v>36.930324999999996</v>
      </c>
      <c r="I774">
        <f>8*5/2/H774</f>
        <v>0.54156035724028972</v>
      </c>
      <c r="J774">
        <v>0</v>
      </c>
      <c r="K774">
        <v>0</v>
      </c>
      <c r="L774">
        <v>0</v>
      </c>
      <c r="M774">
        <v>0</v>
      </c>
      <c r="N774">
        <f>2.2/H774</f>
        <v>5.9571639296431875E-2</v>
      </c>
      <c r="O774">
        <f>1.2/H774</f>
        <v>3.2493621434417384E-2</v>
      </c>
      <c r="P774">
        <f>4.4*6.5/2/H774</f>
        <v>0.38721565542680714</v>
      </c>
    </row>
    <row r="775" spans="1:16" x14ac:dyDescent="0.25">
      <c r="A775" t="s">
        <v>705</v>
      </c>
      <c r="B775" s="5">
        <v>40.683</v>
      </c>
      <c r="C775" s="5">
        <v>-74.168999999999997</v>
      </c>
      <c r="D775" s="5" t="s">
        <v>1809</v>
      </c>
      <c r="E775" s="5">
        <v>1</v>
      </c>
      <c r="F775" s="7">
        <v>1</v>
      </c>
      <c r="G775">
        <v>11</v>
      </c>
      <c r="H775" s="5">
        <f t="shared" si="23"/>
        <v>47.4925</v>
      </c>
      <c r="I775">
        <f>5.5/H775</f>
        <v>0.11580775911986103</v>
      </c>
      <c r="J775">
        <f>2*4/H775</f>
        <v>0.16844764962888878</v>
      </c>
      <c r="K775">
        <f>5.5/H775</f>
        <v>0.11580775911986103</v>
      </c>
      <c r="L775">
        <f>7/H775</f>
        <v>0.14739169342527766</v>
      </c>
      <c r="M775">
        <f>5/H775</f>
        <v>0.10527978101805548</v>
      </c>
      <c r="N775">
        <v>0</v>
      </c>
      <c r="O775">
        <v>0</v>
      </c>
      <c r="P775">
        <v>0</v>
      </c>
    </row>
    <row r="776" spans="1:16" x14ac:dyDescent="0.25">
      <c r="A776" t="s">
        <v>805</v>
      </c>
      <c r="B776" s="5">
        <v>40.707999999999998</v>
      </c>
      <c r="C776" s="5">
        <v>-84.027000000000001</v>
      </c>
      <c r="D776" s="5" t="s">
        <v>1707</v>
      </c>
      <c r="E776" s="5">
        <v>1</v>
      </c>
      <c r="F776" s="7">
        <v>1</v>
      </c>
      <c r="G776">
        <v>11</v>
      </c>
      <c r="H776" s="5">
        <f t="shared" si="23"/>
        <v>47.4925</v>
      </c>
      <c r="I776">
        <f>1/H776</f>
        <v>2.1055956203611097E-2</v>
      </c>
      <c r="J776">
        <f>1.5/H776</f>
        <v>3.1583934305416644E-2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x14ac:dyDescent="0.25">
      <c r="A777" t="s">
        <v>1062</v>
      </c>
      <c r="B777" s="5">
        <v>40.719000000000001</v>
      </c>
      <c r="C777" s="5">
        <v>-114.018</v>
      </c>
      <c r="D777" s="5" t="s">
        <v>1992</v>
      </c>
      <c r="E777" s="5">
        <v>1</v>
      </c>
      <c r="F777" s="7">
        <v>1</v>
      </c>
      <c r="G777">
        <f>26.5/2</f>
        <v>13.25</v>
      </c>
      <c r="H777" s="5">
        <f t="shared" si="23"/>
        <v>68.908281250000002</v>
      </c>
      <c r="I777">
        <f>5.5*3/2/H777</f>
        <v>0.11972436186688373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f>1.5/H777</f>
        <v>2.1768065793978861E-2</v>
      </c>
    </row>
    <row r="778" spans="1:16" x14ac:dyDescent="0.25">
      <c r="A778" t="s">
        <v>669</v>
      </c>
      <c r="B778">
        <v>40.725999999999999</v>
      </c>
      <c r="C778">
        <v>-99</v>
      </c>
      <c r="D778" s="5" t="s">
        <v>1955</v>
      </c>
      <c r="E778" s="5">
        <v>1</v>
      </c>
      <c r="F778" s="7">
        <v>0</v>
      </c>
      <c r="G778">
        <f>20.4/2</f>
        <v>10.199999999999999</v>
      </c>
      <c r="H778" s="5">
        <f t="shared" si="23"/>
        <v>40.835699999999996</v>
      </c>
      <c r="I778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</row>
    <row r="779" spans="1:16" x14ac:dyDescent="0.25">
      <c r="A779" t="s">
        <v>791</v>
      </c>
      <c r="B779">
        <v>40.734000000000002</v>
      </c>
      <c r="C779">
        <v>-73.417000000000002</v>
      </c>
      <c r="D779" s="5" t="s">
        <v>2235</v>
      </c>
      <c r="E779" s="5">
        <v>1</v>
      </c>
      <c r="F779" s="7">
        <v>1</v>
      </c>
      <c r="G779" s="5">
        <v>11</v>
      </c>
      <c r="H779" s="5">
        <f t="shared" si="23"/>
        <v>47.4925</v>
      </c>
      <c r="I779" s="5">
        <f>2.5*1.5/H779</f>
        <v>7.8959835763541611E-2</v>
      </c>
      <c r="J779" s="5">
        <f>4*6/2/H779</f>
        <v>0.25267147444333315</v>
      </c>
      <c r="K779" s="5">
        <f>2.5*3/2/H779</f>
        <v>7.8959835763541611E-2</v>
      </c>
      <c r="L779" s="5">
        <f>1/H779</f>
        <v>2.1055956203611097E-2</v>
      </c>
      <c r="M779" s="5">
        <v>0</v>
      </c>
      <c r="N779" s="5">
        <v>0</v>
      </c>
      <c r="O779" s="5">
        <f>2/H779</f>
        <v>4.2111912407222195E-2</v>
      </c>
      <c r="P779" s="5">
        <f>2.5*5/H779</f>
        <v>0.26319945254513871</v>
      </c>
    </row>
    <row r="780" spans="1:16" x14ac:dyDescent="0.25">
      <c r="A780" t="s">
        <v>899</v>
      </c>
      <c r="B780">
        <v>40.773000000000003</v>
      </c>
      <c r="C780">
        <v>-80.391000000000005</v>
      </c>
      <c r="D780" t="s">
        <v>1876</v>
      </c>
      <c r="E780" s="5">
        <v>1</v>
      </c>
      <c r="F780" s="7">
        <v>0</v>
      </c>
      <c r="G780">
        <v>12.5</v>
      </c>
      <c r="H780" s="5">
        <f t="shared" si="23"/>
        <v>61.328125</v>
      </c>
      <c r="I780">
        <f>3/H780</f>
        <v>4.8917197452229298E-2</v>
      </c>
      <c r="J780">
        <f>4*6.5/2/H780</f>
        <v>0.21197452229299363</v>
      </c>
      <c r="K780">
        <f>7.8*2.5/2/H780</f>
        <v>0.15898089171974522</v>
      </c>
      <c r="L780">
        <f>10.5*8.5/2/H780</f>
        <v>0.7276433121019108</v>
      </c>
      <c r="M780">
        <f>10*7.5/2/H780</f>
        <v>0.61146496815286622</v>
      </c>
      <c r="N780">
        <f>8.5*9.4/2/H780</f>
        <v>0.65141401273885358</v>
      </c>
      <c r="O780">
        <f>4.5*2.5/2/H780</f>
        <v>9.171974522292993E-2</v>
      </c>
      <c r="P780">
        <f>6*8/2/H780</f>
        <v>0.39133757961783439</v>
      </c>
    </row>
    <row r="781" spans="1:16" x14ac:dyDescent="0.25">
      <c r="A781" t="s">
        <v>761</v>
      </c>
      <c r="B781">
        <v>40.779000000000003</v>
      </c>
      <c r="C781">
        <v>-73.881</v>
      </c>
      <c r="D781" t="s">
        <v>1812</v>
      </c>
      <c r="E781" s="5">
        <v>1</v>
      </c>
      <c r="F781" s="7">
        <v>1</v>
      </c>
      <c r="G781">
        <v>13</v>
      </c>
      <c r="H781" s="5">
        <f t="shared" si="23"/>
        <v>66.332499999999996</v>
      </c>
      <c r="I781">
        <f>1/H781</f>
        <v>1.5075566275958241E-2</v>
      </c>
      <c r="J781">
        <v>0</v>
      </c>
      <c r="K781">
        <v>0</v>
      </c>
      <c r="L781">
        <v>0</v>
      </c>
      <c r="M781" s="5">
        <v>0</v>
      </c>
      <c r="N781" s="5">
        <f>1/H781</f>
        <v>1.5075566275958241E-2</v>
      </c>
      <c r="O781" s="5">
        <f>3.5/I781</f>
        <v>232.16374999999999</v>
      </c>
      <c r="P781" s="5">
        <f>2.5*H781</f>
        <v>165.83124999999998</v>
      </c>
    </row>
    <row r="782" spans="1:16" x14ac:dyDescent="0.25">
      <c r="A782" t="s">
        <v>351</v>
      </c>
      <c r="B782">
        <v>40.783000000000001</v>
      </c>
      <c r="C782">
        <v>-91.125</v>
      </c>
      <c r="D782" t="s">
        <v>1938</v>
      </c>
      <c r="E782" s="5">
        <v>1</v>
      </c>
      <c r="F782" s="7">
        <v>1</v>
      </c>
      <c r="G782">
        <f>21.5/2</f>
        <v>10.75</v>
      </c>
      <c r="H782" s="5">
        <f t="shared" si="23"/>
        <v>45.358281250000005</v>
      </c>
      <c r="I782">
        <v>0</v>
      </c>
      <c r="J782">
        <v>0</v>
      </c>
      <c r="K782">
        <f>2.5*4/H782</f>
        <v>0.22046690757269377</v>
      </c>
      <c r="L782">
        <f>3*0.8/H782</f>
        <v>5.2912057817446512E-2</v>
      </c>
      <c r="M782">
        <v>0</v>
      </c>
      <c r="N782">
        <v>0</v>
      </c>
      <c r="O782">
        <f>2*1.6/H782</f>
        <v>7.0549410423262016E-2</v>
      </c>
      <c r="P782">
        <f>6*6.5/2/H782</f>
        <v>0.42991046976675285</v>
      </c>
    </row>
    <row r="783" spans="1:16" x14ac:dyDescent="0.25">
      <c r="A783" t="s">
        <v>1059</v>
      </c>
      <c r="B783" s="5">
        <v>40.786999999999999</v>
      </c>
      <c r="C783" s="5">
        <v>-111.968</v>
      </c>
      <c r="D783" s="5" t="s">
        <v>1979</v>
      </c>
      <c r="E783" s="5">
        <v>1</v>
      </c>
      <c r="F783" s="7">
        <v>1</v>
      </c>
      <c r="G783">
        <v>12.5</v>
      </c>
      <c r="H783" s="5">
        <f t="shared" si="23"/>
        <v>61.328125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x14ac:dyDescent="0.25">
      <c r="A784" t="s">
        <v>763</v>
      </c>
      <c r="B784" s="5">
        <v>40.793999999999997</v>
      </c>
      <c r="C784" s="5">
        <v>-73.102000000000004</v>
      </c>
      <c r="D784" s="5" t="s">
        <v>1814</v>
      </c>
      <c r="E784" s="5">
        <v>1</v>
      </c>
      <c r="F784" s="7">
        <v>1</v>
      </c>
      <c r="G784">
        <f>19/2</f>
        <v>9.5</v>
      </c>
      <c r="H784" s="5">
        <f t="shared" si="23"/>
        <v>35.423124999999999</v>
      </c>
      <c r="I784">
        <v>0</v>
      </c>
      <c r="J784">
        <v>0</v>
      </c>
      <c r="K784">
        <v>0</v>
      </c>
      <c r="L784">
        <v>0</v>
      </c>
      <c r="M784">
        <f>7*2.5/2/H784</f>
        <v>0.2470137798401468</v>
      </c>
      <c r="N784">
        <f>1.5/H784</f>
        <v>4.2345219401168026E-2</v>
      </c>
      <c r="O784" s="5">
        <v>0</v>
      </c>
      <c r="P784" s="5">
        <v>0</v>
      </c>
    </row>
    <row r="785" spans="1:16" x14ac:dyDescent="0.25">
      <c r="A785" t="s">
        <v>703</v>
      </c>
      <c r="B785" s="5">
        <v>40.798999999999999</v>
      </c>
      <c r="C785" s="5">
        <v>-74.415000000000006</v>
      </c>
      <c r="D785" s="5" t="s">
        <v>1674</v>
      </c>
      <c r="E785" s="5">
        <v>1</v>
      </c>
      <c r="F785" s="7">
        <v>1</v>
      </c>
      <c r="G785">
        <f>9.5</f>
        <v>9.5</v>
      </c>
      <c r="H785" s="5">
        <f t="shared" si="23"/>
        <v>35.423124999999999</v>
      </c>
      <c r="I785">
        <f>7.5*4.5/2/H785</f>
        <v>0.47638371826314024</v>
      </c>
      <c r="J785">
        <f>3*5.5/2/H785</f>
        <v>0.23289870670642412</v>
      </c>
      <c r="K785">
        <f>3*5/2/H785</f>
        <v>0.21172609700584011</v>
      </c>
      <c r="L785">
        <f>4*2.5/2/H785</f>
        <v>0.14115073133722675</v>
      </c>
      <c r="M785">
        <f>3*4/2/H785</f>
        <v>0.1693808776046721</v>
      </c>
      <c r="N785">
        <f>2/H785</f>
        <v>5.6460292534890696E-2</v>
      </c>
      <c r="O785">
        <f>3/H785</f>
        <v>8.4690438802336052E-2</v>
      </c>
      <c r="P785">
        <f>7*5/2/H785</f>
        <v>0.4940275596802936</v>
      </c>
    </row>
    <row r="786" spans="1:16" x14ac:dyDescent="0.25">
      <c r="A786" t="s">
        <v>817</v>
      </c>
      <c r="B786" s="5">
        <v>40.82</v>
      </c>
      <c r="C786" s="5">
        <v>-82.518000000000001</v>
      </c>
      <c r="D786" t="s">
        <v>1890</v>
      </c>
      <c r="E786" s="5">
        <v>1</v>
      </c>
      <c r="F786" s="7">
        <v>1</v>
      </c>
      <c r="G786">
        <f>24.5/2</f>
        <v>12.25</v>
      </c>
      <c r="H786" s="5">
        <f t="shared" si="23"/>
        <v>58.899531250000003</v>
      </c>
      <c r="I786">
        <v>0</v>
      </c>
      <c r="J786">
        <v>0</v>
      </c>
      <c r="K786">
        <v>0</v>
      </c>
      <c r="L786">
        <v>0</v>
      </c>
      <c r="M786">
        <v>0</v>
      </c>
      <c r="N786">
        <f>2/H786</f>
        <v>3.3956127621983405E-2</v>
      </c>
      <c r="O786" s="5">
        <f>5*7/2/H786</f>
        <v>0.29711611669235483</v>
      </c>
      <c r="P786" s="5">
        <f>3*2/H786</f>
        <v>0.10186838286595022</v>
      </c>
    </row>
    <row r="787" spans="1:16" x14ac:dyDescent="0.25">
      <c r="A787" t="s">
        <v>881</v>
      </c>
      <c r="B787" s="5">
        <v>40.820999999999998</v>
      </c>
      <c r="C787" s="5">
        <v>-76.864000000000004</v>
      </c>
      <c r="D787" s="5" t="s">
        <v>1846</v>
      </c>
      <c r="E787" s="5">
        <v>1</v>
      </c>
      <c r="F787" s="7">
        <v>1</v>
      </c>
      <c r="G787">
        <f>22.8/2</f>
        <v>11.4</v>
      </c>
      <c r="H787" s="5">
        <f t="shared" si="23"/>
        <v>51.009300000000003</v>
      </c>
      <c r="I787">
        <v>0</v>
      </c>
      <c r="J787">
        <f>0.5/H787</f>
        <v>9.8021341206407445E-3</v>
      </c>
      <c r="K787">
        <f>2/H787</f>
        <v>3.9208536482562978E-2</v>
      </c>
      <c r="L787">
        <v>0</v>
      </c>
      <c r="M787">
        <v>0</v>
      </c>
      <c r="N787">
        <f>0.6/H787</f>
        <v>1.1762560944768893E-2</v>
      </c>
      <c r="O787">
        <f>0.3/H787</f>
        <v>5.8812804723844467E-3</v>
      </c>
      <c r="P787">
        <f>0.3/H787</f>
        <v>5.8812804723844467E-3</v>
      </c>
    </row>
    <row r="788" spans="1:16" x14ac:dyDescent="0.25">
      <c r="A788" t="s">
        <v>760</v>
      </c>
      <c r="B788" s="5">
        <v>40.822000000000003</v>
      </c>
      <c r="C788" s="5">
        <v>-72.869</v>
      </c>
      <c r="D788" s="5" t="s">
        <v>1808</v>
      </c>
      <c r="E788" s="5">
        <v>1</v>
      </c>
      <c r="F788" s="7">
        <v>1</v>
      </c>
      <c r="G788">
        <f>23.6/2</f>
        <v>11.8</v>
      </c>
      <c r="H788" s="5">
        <f t="shared" si="23"/>
        <v>54.651700000000012</v>
      </c>
      <c r="I788">
        <f>11*4/2/H788</f>
        <v>0.40254923451603508</v>
      </c>
      <c r="J788">
        <v>0.98</v>
      </c>
      <c r="K788">
        <v>0.98</v>
      </c>
      <c r="L788">
        <f>10.5*7/2/H788</f>
        <v>0.67244019856655857</v>
      </c>
      <c r="M788">
        <v>0</v>
      </c>
      <c r="N788">
        <f>7/H788</f>
        <v>0.12808384734601116</v>
      </c>
      <c r="O788">
        <f>1/H788</f>
        <v>1.8297692478001594E-2</v>
      </c>
      <c r="P788">
        <v>0</v>
      </c>
    </row>
    <row r="789" spans="1:16" x14ac:dyDescent="0.25">
      <c r="A789" t="s">
        <v>752</v>
      </c>
      <c r="B789" s="5">
        <v>40.825000000000003</v>
      </c>
      <c r="C789" s="5">
        <v>-115.792</v>
      </c>
      <c r="D789" s="5" t="s">
        <v>1994</v>
      </c>
      <c r="E789" s="5">
        <v>1</v>
      </c>
      <c r="F789" s="7">
        <v>0</v>
      </c>
      <c r="G789" s="5">
        <v>11.5</v>
      </c>
      <c r="H789" s="5">
        <f t="shared" si="23"/>
        <v>51.908124999999998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</row>
    <row r="790" spans="1:16" x14ac:dyDescent="0.25">
      <c r="A790" t="s">
        <v>664</v>
      </c>
      <c r="B790" s="5">
        <v>40.831000000000003</v>
      </c>
      <c r="C790" s="5">
        <v>-96.763999999999996</v>
      </c>
      <c r="D790" s="5" t="s">
        <v>1949</v>
      </c>
      <c r="E790" s="5">
        <v>1</v>
      </c>
      <c r="F790" s="7">
        <v>1</v>
      </c>
      <c r="G790">
        <f>19.5/2</f>
        <v>9.75</v>
      </c>
      <c r="H790" s="5">
        <f t="shared" si="23"/>
        <v>37.312031250000004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t="s">
        <v>792</v>
      </c>
      <c r="B791" s="5">
        <v>40.844000000000001</v>
      </c>
      <c r="C791" s="5">
        <v>-72.632000000000005</v>
      </c>
      <c r="D791" s="5" t="s">
        <v>2236</v>
      </c>
      <c r="E791">
        <v>1</v>
      </c>
      <c r="F791" s="7">
        <v>1</v>
      </c>
      <c r="G791">
        <f>22.5/2</f>
        <v>11.25</v>
      </c>
      <c r="H791" s="5">
        <f t="shared" si="23"/>
        <v>49.675781250000007</v>
      </c>
      <c r="I791">
        <v>0</v>
      </c>
      <c r="J791" s="5">
        <v>0</v>
      </c>
      <c r="K791" s="5">
        <f>9.5*8.5/2/H791</f>
        <v>0.81277030746245171</v>
      </c>
      <c r="L791" s="5">
        <f>8.5*10.5/2/H791</f>
        <v>0.89832507666902561</v>
      </c>
      <c r="M791" s="5">
        <f>8.5*10/2/H791</f>
        <v>0.85554769206573866</v>
      </c>
      <c r="N791" s="5">
        <f>5*10/2/H791</f>
        <v>0.50326334827396391</v>
      </c>
      <c r="O791" s="5">
        <f>3*3/2/H791</f>
        <v>9.0587402689313506E-2</v>
      </c>
      <c r="P791" s="5">
        <f>4/H791</f>
        <v>8.0522135723834223E-2</v>
      </c>
    </row>
    <row r="792" spans="1:16" x14ac:dyDescent="0.25">
      <c r="A792" t="s">
        <v>706</v>
      </c>
      <c r="B792" s="5">
        <v>40.85</v>
      </c>
      <c r="C792" s="5">
        <v>-74.061000000000007</v>
      </c>
      <c r="D792" s="5" t="s">
        <v>1810</v>
      </c>
      <c r="E792">
        <v>1</v>
      </c>
      <c r="F792" s="7">
        <v>1</v>
      </c>
      <c r="G792">
        <f>20.2/2</f>
        <v>10.1</v>
      </c>
      <c r="H792" s="5">
        <f t="shared" si="23"/>
        <v>40.038924999999999</v>
      </c>
      <c r="I792">
        <f>8.5*4.5/2/H792</f>
        <v>0.47766017694031498</v>
      </c>
      <c r="J792">
        <f>7.5*5/2/H792</f>
        <v>0.46829429111795584</v>
      </c>
      <c r="K792">
        <f>3*7.5/2/H792</f>
        <v>0.28097657467077353</v>
      </c>
      <c r="L792">
        <f>2/H792</f>
        <v>4.9951391052581957E-2</v>
      </c>
      <c r="M792">
        <v>0</v>
      </c>
      <c r="N792">
        <v>0</v>
      </c>
      <c r="O792">
        <f>0.5/H792</f>
        <v>1.2487847763145489E-2</v>
      </c>
      <c r="P792">
        <f>0.5/H792</f>
        <v>1.2487847763145489E-2</v>
      </c>
    </row>
    <row r="793" spans="1:16" x14ac:dyDescent="0.25">
      <c r="A793" t="s">
        <v>810</v>
      </c>
      <c r="B793">
        <v>40.875</v>
      </c>
      <c r="C793">
        <v>-81.887</v>
      </c>
      <c r="D793" t="s">
        <v>1882</v>
      </c>
      <c r="E793" s="5">
        <v>1</v>
      </c>
      <c r="F793" s="7">
        <v>1</v>
      </c>
      <c r="G793">
        <f>22.5/2</f>
        <v>11.25</v>
      </c>
      <c r="H793" s="5">
        <f t="shared" si="23"/>
        <v>49.675781250000007</v>
      </c>
      <c r="I793">
        <v>0</v>
      </c>
      <c r="J793">
        <v>0</v>
      </c>
      <c r="K793">
        <f>2.5/H793</f>
        <v>5.0326334827396388E-2</v>
      </c>
      <c r="L793">
        <f>1/H793</f>
        <v>2.0130533930958556E-2</v>
      </c>
      <c r="M793">
        <v>0</v>
      </c>
      <c r="N793">
        <v>0</v>
      </c>
      <c r="O793">
        <v>0</v>
      </c>
      <c r="P793">
        <v>0</v>
      </c>
    </row>
    <row r="794" spans="1:16" x14ac:dyDescent="0.25">
      <c r="A794" t="s">
        <v>700</v>
      </c>
      <c r="B794" s="5">
        <v>40.875999999999998</v>
      </c>
      <c r="C794" s="5">
        <v>-74.283000000000001</v>
      </c>
      <c r="D794" s="5" t="s">
        <v>1671</v>
      </c>
      <c r="E794">
        <v>1</v>
      </c>
      <c r="F794" s="7">
        <v>1</v>
      </c>
      <c r="G794">
        <f>21.5/2</f>
        <v>10.75</v>
      </c>
      <c r="H794" s="5">
        <f t="shared" si="23"/>
        <v>45.358281250000005</v>
      </c>
      <c r="I794">
        <f>8*6/2/H794</f>
        <v>0.52912057817446501</v>
      </c>
      <c r="J794">
        <f>7.5*5/2/H794</f>
        <v>0.4133754516988008</v>
      </c>
      <c r="K794">
        <f>2/H794</f>
        <v>4.4093381514538753E-2</v>
      </c>
      <c r="L794">
        <f>10/H794</f>
        <v>0.22046690757269377</v>
      </c>
      <c r="M794">
        <f>8*4/2/H794</f>
        <v>0.35274705211631002</v>
      </c>
      <c r="N794">
        <f>(H794-4.5*2.5/2)/H794</f>
        <v>0.87598736449035974</v>
      </c>
      <c r="O794">
        <f>6*7/2/H794</f>
        <v>0.46298050590265694</v>
      </c>
      <c r="P794">
        <f>9.5*3/2/H794</f>
        <v>0.31416534329108864</v>
      </c>
    </row>
    <row r="795" spans="1:16" x14ac:dyDescent="0.25">
      <c r="A795" t="s">
        <v>890</v>
      </c>
      <c r="B795" s="5">
        <v>40.884</v>
      </c>
      <c r="C795" s="5">
        <v>-78.087000000000003</v>
      </c>
      <c r="D795" s="5" t="s">
        <v>1854</v>
      </c>
      <c r="E795" s="5">
        <v>1</v>
      </c>
      <c r="F795" s="7">
        <v>0</v>
      </c>
      <c r="G795">
        <f>21.5/2</f>
        <v>10.75</v>
      </c>
      <c r="H795" s="5">
        <f t="shared" si="23"/>
        <v>45.358281250000005</v>
      </c>
      <c r="I795">
        <v>0</v>
      </c>
      <c r="J795">
        <f>0.5/H795</f>
        <v>1.1023345378634688E-2</v>
      </c>
      <c r="K795">
        <v>0</v>
      </c>
      <c r="L795">
        <v>0</v>
      </c>
      <c r="M795">
        <v>0</v>
      </c>
      <c r="N795">
        <f>5*3.5/2/H795</f>
        <v>0.19290854412610706</v>
      </c>
      <c r="O795">
        <f>1.5/H795</f>
        <v>3.3070036135904063E-2</v>
      </c>
      <c r="P795">
        <v>0</v>
      </c>
    </row>
    <row r="796" spans="1:16" x14ac:dyDescent="0.25">
      <c r="A796" t="s">
        <v>753</v>
      </c>
      <c r="B796" s="5">
        <v>40.902000000000001</v>
      </c>
      <c r="C796" s="5">
        <v>-117.807</v>
      </c>
      <c r="D796" s="5" t="s">
        <v>1995</v>
      </c>
      <c r="E796" s="5">
        <v>1</v>
      </c>
      <c r="F796" s="7">
        <v>1</v>
      </c>
      <c r="G796">
        <f>21.5/2</f>
        <v>10.75</v>
      </c>
      <c r="H796" s="5">
        <f t="shared" si="23"/>
        <v>45.358281250000005</v>
      </c>
      <c r="I796">
        <f>0.3/H796</f>
        <v>6.6140072271808131E-3</v>
      </c>
      <c r="J796">
        <f>2.5/H796</f>
        <v>5.5116726893173443E-2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t="s">
        <v>808</v>
      </c>
      <c r="B797" s="5">
        <v>40.917999999999999</v>
      </c>
      <c r="C797" s="5">
        <v>-81.442999999999998</v>
      </c>
      <c r="D797" s="5" t="s">
        <v>1880</v>
      </c>
      <c r="E797" s="5">
        <v>1</v>
      </c>
      <c r="F797" s="7">
        <v>1</v>
      </c>
      <c r="G797">
        <f>19.5/2</f>
        <v>9.75</v>
      </c>
      <c r="H797" s="5">
        <f t="shared" si="23"/>
        <v>37.312031250000004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x14ac:dyDescent="0.25">
      <c r="A798" t="s">
        <v>666</v>
      </c>
      <c r="B798" s="5">
        <v>40.957999999999998</v>
      </c>
      <c r="C798" s="5">
        <v>-98.313000000000002</v>
      </c>
      <c r="D798" s="5" t="s">
        <v>1952</v>
      </c>
      <c r="E798">
        <v>1</v>
      </c>
      <c r="F798" s="7">
        <v>0</v>
      </c>
      <c r="G798">
        <v>12</v>
      </c>
      <c r="H798" s="5">
        <f t="shared" si="23"/>
        <v>56.519999999999996</v>
      </c>
      <c r="I798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</row>
    <row r="799" spans="1:16" x14ac:dyDescent="0.25">
      <c r="A799" t="s">
        <v>178</v>
      </c>
      <c r="B799" s="5">
        <v>40.978000000000002</v>
      </c>
      <c r="C799" s="5">
        <v>-124.10899999999999</v>
      </c>
      <c r="D799" s="5" t="s">
        <v>2008</v>
      </c>
      <c r="E799" s="5">
        <v>1</v>
      </c>
      <c r="F799" s="7">
        <v>1</v>
      </c>
      <c r="G799">
        <v>10</v>
      </c>
      <c r="H799" s="5">
        <f t="shared" si="23"/>
        <v>39.25</v>
      </c>
      <c r="I799">
        <v>0</v>
      </c>
      <c r="J799">
        <f>3.5*6.5/2/H799</f>
        <v>0.28980891719745222</v>
      </c>
      <c r="K799">
        <f>(H799-5.5*6.5/2)/H799</f>
        <v>0.54458598726114649</v>
      </c>
      <c r="L799">
        <f>5*3/2/H799</f>
        <v>0.19108280254777071</v>
      </c>
      <c r="M799">
        <v>0</v>
      </c>
      <c r="N799">
        <f>2.5/H799</f>
        <v>6.3694267515923567E-2</v>
      </c>
      <c r="O799" s="5">
        <f>3/H799</f>
        <v>7.6433121019108277E-2</v>
      </c>
      <c r="P799" s="5">
        <v>0</v>
      </c>
    </row>
    <row r="800" spans="1:16" x14ac:dyDescent="0.25">
      <c r="A800" t="s">
        <v>417</v>
      </c>
      <c r="B800">
        <v>41.006</v>
      </c>
      <c r="C800">
        <v>-85.206000000000003</v>
      </c>
      <c r="D800" t="s">
        <v>1909</v>
      </c>
      <c r="E800" s="5">
        <v>1</v>
      </c>
      <c r="F800" s="7">
        <v>0</v>
      </c>
      <c r="G800">
        <f>21.9/2</f>
        <v>10.95</v>
      </c>
      <c r="H800" s="5">
        <f t="shared" si="23"/>
        <v>47.061731250000001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f>1.6/H800</f>
        <v>3.3997899301675183E-2</v>
      </c>
      <c r="P800">
        <f>4.5/H800</f>
        <v>9.5619091785961438E-2</v>
      </c>
    </row>
    <row r="801" spans="1:16" x14ac:dyDescent="0.25">
      <c r="A801" t="s">
        <v>698</v>
      </c>
      <c r="B801">
        <v>41.009</v>
      </c>
      <c r="C801">
        <v>-74.736999999999995</v>
      </c>
      <c r="D801" t="s">
        <v>1663</v>
      </c>
      <c r="E801" s="5">
        <v>1</v>
      </c>
      <c r="F801" s="7">
        <v>0</v>
      </c>
      <c r="G801">
        <v>12.5</v>
      </c>
      <c r="H801" s="5">
        <f t="shared" si="23"/>
        <v>61.328125</v>
      </c>
      <c r="I801">
        <f>4*4/2/H801</f>
        <v>0.13044585987261145</v>
      </c>
      <c r="J801">
        <f>8*6/2/H801</f>
        <v>0.39133757961783439</v>
      </c>
      <c r="K801">
        <f>(H801-7*3/2)/H801</f>
        <v>0.82878980891719745</v>
      </c>
      <c r="L801">
        <f>(H801-5.5*3/2)/H801</f>
        <v>0.86547770700636939</v>
      </c>
      <c r="M801">
        <f>7*6.5/2/H801</f>
        <v>0.37095541401273885</v>
      </c>
      <c r="N801">
        <f>7.5*6.5/2/H801</f>
        <v>0.39745222929936308</v>
      </c>
      <c r="O801">
        <f>(H801-5*3.8/2)/H801</f>
        <v>0.84509554140127385</v>
      </c>
      <c r="P801">
        <f>6.7*9.5/2/H801</f>
        <v>0.51892993630573248</v>
      </c>
    </row>
    <row r="802" spans="1:16" x14ac:dyDescent="0.25">
      <c r="A802" t="s">
        <v>823</v>
      </c>
      <c r="B802" s="5">
        <v>41.014000000000003</v>
      </c>
      <c r="C802" s="5">
        <v>-83.668999999999997</v>
      </c>
      <c r="D802" t="s">
        <v>1920</v>
      </c>
      <c r="E802" s="5">
        <v>1</v>
      </c>
      <c r="F802" s="7">
        <v>1</v>
      </c>
      <c r="G802">
        <v>10</v>
      </c>
      <c r="H802" s="5">
        <f t="shared" si="23"/>
        <v>39.25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f>2/H802</f>
        <v>5.0955414012738856E-2</v>
      </c>
    </row>
    <row r="803" spans="1:16" x14ac:dyDescent="0.25">
      <c r="A803" t="s">
        <v>806</v>
      </c>
      <c r="B803" s="5">
        <v>41.037999999999997</v>
      </c>
      <c r="C803" s="5">
        <v>-81.463999999999999</v>
      </c>
      <c r="D803" t="s">
        <v>1708</v>
      </c>
      <c r="E803" s="5">
        <v>1</v>
      </c>
      <c r="F803" s="7">
        <v>1</v>
      </c>
      <c r="G803">
        <f>25/2</f>
        <v>12.5</v>
      </c>
      <c r="H803" s="5">
        <f t="shared" si="23"/>
        <v>61.328125</v>
      </c>
      <c r="I803">
        <v>0</v>
      </c>
      <c r="J803">
        <v>0</v>
      </c>
      <c r="K803">
        <f>4*3/H803</f>
        <v>0.19566878980891719</v>
      </c>
      <c r="L803">
        <f>(H803-6*7.5/2)/H803</f>
        <v>0.63312101910828023</v>
      </c>
      <c r="M803">
        <f>5.4*4.5/2/H803</f>
        <v>0.19811464968152867</v>
      </c>
      <c r="N803">
        <v>0</v>
      </c>
      <c r="O803">
        <v>0</v>
      </c>
      <c r="P803">
        <f>1.5/H803</f>
        <v>2.4458598726114649E-2</v>
      </c>
    </row>
    <row r="804" spans="1:16" x14ac:dyDescent="0.25">
      <c r="A804" t="s">
        <v>889</v>
      </c>
      <c r="B804" s="5">
        <v>41.046999999999997</v>
      </c>
      <c r="C804" s="5">
        <v>-78.412000000000006</v>
      </c>
      <c r="D804" s="5" t="s">
        <v>1853</v>
      </c>
      <c r="E804" s="5">
        <v>1</v>
      </c>
      <c r="F804" s="7">
        <v>0</v>
      </c>
      <c r="G804">
        <f>22.3/2</f>
        <v>11.15</v>
      </c>
      <c r="H804" s="5">
        <f t="shared" si="23"/>
        <v>48.796581250000003</v>
      </c>
      <c r="I804">
        <f>(H804-4*5/2)/H804</f>
        <v>0.79506761039739848</v>
      </c>
      <c r="J804">
        <f>8.5*6/2/H804</f>
        <v>0.5225775934866338</v>
      </c>
      <c r="K804">
        <f>1/H804</f>
        <v>2.049323896026015E-2</v>
      </c>
      <c r="L804">
        <f>4.5*3.5/2/H804</f>
        <v>0.16138425681204868</v>
      </c>
      <c r="M804">
        <f>3/H804</f>
        <v>6.1479716880780452E-2</v>
      </c>
      <c r="N804">
        <f>7*8.5/2/H804</f>
        <v>0.60967385906773952</v>
      </c>
      <c r="O804">
        <f>4.3*1.7/2/H804</f>
        <v>7.4902788399750841E-2</v>
      </c>
      <c r="P804">
        <f>7.5*4/2/H804</f>
        <v>0.30739858440390228</v>
      </c>
    </row>
    <row r="805" spans="1:16" x14ac:dyDescent="0.25">
      <c r="A805" t="s">
        <v>765</v>
      </c>
      <c r="B805" s="5">
        <v>41.067</v>
      </c>
      <c r="C805" s="5">
        <v>-73.707999999999998</v>
      </c>
      <c r="D805" s="5" t="s">
        <v>1816</v>
      </c>
      <c r="E805">
        <v>1</v>
      </c>
      <c r="F805" s="7">
        <v>1</v>
      </c>
      <c r="G805">
        <f>20.5/2</f>
        <v>10.25</v>
      </c>
      <c r="H805" s="5">
        <f t="shared" si="23"/>
        <v>41.237031250000001</v>
      </c>
      <c r="I805">
        <v>0</v>
      </c>
      <c r="J805">
        <v>0</v>
      </c>
      <c r="K805">
        <f>3*7/2/H805</f>
        <v>0.25462550726175276</v>
      </c>
      <c r="L805">
        <v>0</v>
      </c>
      <c r="M805">
        <f>5*4.5/2/H805</f>
        <v>0.27281304349473506</v>
      </c>
      <c r="N805">
        <f>8*6/2/H805</f>
        <v>0.58200115945543485</v>
      </c>
      <c r="O805">
        <f>2.5*7.5/2/H805</f>
        <v>0.22734420291227922</v>
      </c>
      <c r="P805">
        <v>0</v>
      </c>
    </row>
    <row r="806" spans="1:16" x14ac:dyDescent="0.25">
      <c r="A806" t="s">
        <v>758</v>
      </c>
      <c r="B806" s="5">
        <v>41.073</v>
      </c>
      <c r="C806" s="5">
        <v>-71.923000000000002</v>
      </c>
      <c r="D806" s="5" t="s">
        <v>1806</v>
      </c>
      <c r="E806">
        <v>1</v>
      </c>
      <c r="F806" s="7">
        <v>0</v>
      </c>
      <c r="G806">
        <f>18.8/2</f>
        <v>9.4</v>
      </c>
      <c r="H806" s="5">
        <f t="shared" si="23"/>
        <v>34.6813</v>
      </c>
      <c r="I806">
        <f>6.5*7/2/H806</f>
        <v>0.65597310366105077</v>
      </c>
      <c r="J806">
        <f>6/H806</f>
        <v>0.17300389547104636</v>
      </c>
      <c r="K806">
        <f>8*4/2/H806</f>
        <v>0.46134372125612361</v>
      </c>
      <c r="L806">
        <f>7*7/2/H806</f>
        <v>0.70643257317343933</v>
      </c>
      <c r="M806">
        <f>4*9/2/H806</f>
        <v>0.51901168641313911</v>
      </c>
      <c r="N806">
        <f>3.5*7.5/2/H806</f>
        <v>0.37844602134291389</v>
      </c>
      <c r="O806">
        <f>6*6.5/2/H806</f>
        <v>0.56226266028090066</v>
      </c>
      <c r="P806">
        <f>4.5*2.5/2/H806</f>
        <v>0.16219115200410597</v>
      </c>
    </row>
    <row r="807" spans="1:16" x14ac:dyDescent="0.25">
      <c r="A807" t="s">
        <v>677</v>
      </c>
      <c r="B807" s="1">
        <v>41.100999999999999</v>
      </c>
      <c r="C807" s="1">
        <v>-102.985</v>
      </c>
      <c r="D807" s="1" t="s">
        <v>1964</v>
      </c>
      <c r="E807" s="5">
        <v>1</v>
      </c>
      <c r="F807" s="7">
        <v>1</v>
      </c>
      <c r="G807">
        <f>22.8/2</f>
        <v>11.4</v>
      </c>
      <c r="H807" s="5">
        <f>3.14*G807*G807/8</f>
        <v>51.009300000000003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x14ac:dyDescent="0.25">
      <c r="A808" t="s">
        <v>681</v>
      </c>
      <c r="B808" s="1">
        <v>41.100999999999999</v>
      </c>
      <c r="C808" s="1">
        <v>-102.985</v>
      </c>
      <c r="D808" s="1" t="s">
        <v>1964</v>
      </c>
      <c r="E808" s="5">
        <v>1</v>
      </c>
      <c r="F808" s="7">
        <v>1</v>
      </c>
      <c r="G808">
        <f>22.8/2</f>
        <v>11.4</v>
      </c>
      <c r="H808" s="5">
        <f>3.14*G808*G808/8</f>
        <v>51.009300000000003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t="s">
        <v>355</v>
      </c>
      <c r="B809">
        <v>41.106999999999999</v>
      </c>
      <c r="C809">
        <v>-92.447999999999993</v>
      </c>
      <c r="D809" t="s">
        <v>1942</v>
      </c>
      <c r="E809" s="5">
        <v>1</v>
      </c>
      <c r="F809" s="7">
        <v>1</v>
      </c>
      <c r="G809">
        <v>12.8</v>
      </c>
      <c r="H809" s="5">
        <f t="shared" ref="H809:H844" si="24">3.14*G809*G809/8</f>
        <v>64.307200000000009</v>
      </c>
      <c r="I809">
        <f>0.3/H809</f>
        <v>4.6651074840764325E-3</v>
      </c>
      <c r="J809">
        <f>2.5/H809</f>
        <v>3.8875895700636938E-2</v>
      </c>
      <c r="K809">
        <f>2.5/H809</f>
        <v>3.8875895700636938E-2</v>
      </c>
      <c r="L809">
        <f>6/H809</f>
        <v>9.3302149681528654E-2</v>
      </c>
      <c r="M809">
        <f>0.3/H809</f>
        <v>4.6651074840764325E-3</v>
      </c>
      <c r="N809">
        <v>0</v>
      </c>
      <c r="O809">
        <v>0</v>
      </c>
      <c r="P809">
        <v>0</v>
      </c>
    </row>
    <row r="810" spans="1:16" x14ac:dyDescent="0.25">
      <c r="A810" t="s">
        <v>673</v>
      </c>
      <c r="B810" s="5">
        <v>41.118000000000002</v>
      </c>
      <c r="C810" s="5">
        <v>-95.763999999999996</v>
      </c>
      <c r="D810" s="5" t="s">
        <v>1959</v>
      </c>
      <c r="E810" s="5">
        <v>1</v>
      </c>
      <c r="F810" s="7">
        <v>0</v>
      </c>
      <c r="G810">
        <f>22.6/2</f>
        <v>11.3</v>
      </c>
      <c r="H810" s="5">
        <f t="shared" si="24"/>
        <v>50.118325000000013</v>
      </c>
      <c r="I810">
        <v>0</v>
      </c>
      <c r="J810">
        <f>3*9/2/H810</f>
        <v>0.2693625535171017</v>
      </c>
      <c r="K810">
        <f>0.4/H810</f>
        <v>7.9811126968030149E-3</v>
      </c>
      <c r="L810">
        <v>0</v>
      </c>
      <c r="M810">
        <v>0</v>
      </c>
      <c r="N810" s="5">
        <f>5*1.5/2/H810</f>
        <v>7.4822931532528253E-2</v>
      </c>
      <c r="O810" s="5">
        <f>3/H810</f>
        <v>5.9858345226022604E-2</v>
      </c>
      <c r="P810" s="5">
        <v>0</v>
      </c>
    </row>
    <row r="811" spans="1:16" x14ac:dyDescent="0.25">
      <c r="A811" t="s">
        <v>678</v>
      </c>
      <c r="B811" s="5">
        <v>41.122</v>
      </c>
      <c r="C811" s="5">
        <v>-100.66800000000001</v>
      </c>
      <c r="D811" s="5" t="s">
        <v>1965</v>
      </c>
      <c r="E811" s="5">
        <v>1</v>
      </c>
      <c r="F811" s="7">
        <v>1</v>
      </c>
      <c r="G811">
        <f>20.5/2</f>
        <v>10.25</v>
      </c>
      <c r="H811" s="5">
        <f t="shared" si="24"/>
        <v>41.237031250000001</v>
      </c>
      <c r="I811">
        <v>0</v>
      </c>
      <c r="J811">
        <v>0</v>
      </c>
      <c r="K811">
        <v>0</v>
      </c>
      <c r="L811">
        <v>0</v>
      </c>
      <c r="M811">
        <f>3*3/2/H811</f>
        <v>0.10912521739789403</v>
      </c>
      <c r="N811">
        <f>2*3.5/H811</f>
        <v>0.16975033817450183</v>
      </c>
      <c r="O811" s="5">
        <f>3/H811</f>
        <v>7.2750144931929356E-2</v>
      </c>
      <c r="P811" s="5">
        <v>0</v>
      </c>
    </row>
    <row r="812" spans="1:16" x14ac:dyDescent="0.25">
      <c r="A812" t="s">
        <v>1061</v>
      </c>
      <c r="B812">
        <v>41.122999999999998</v>
      </c>
      <c r="C812">
        <v>-111.973</v>
      </c>
      <c r="D812" t="s">
        <v>1983</v>
      </c>
      <c r="E812" s="5">
        <v>1</v>
      </c>
      <c r="F812" s="7">
        <v>0</v>
      </c>
      <c r="G812">
        <f>24.5/2</f>
        <v>12.25</v>
      </c>
      <c r="H812" s="5">
        <f t="shared" si="24"/>
        <v>58.899531250000003</v>
      </c>
      <c r="I812">
        <v>0</v>
      </c>
      <c r="J812" s="5">
        <v>0</v>
      </c>
      <c r="K812" s="5">
        <v>0</v>
      </c>
      <c r="L812" s="5">
        <v>0</v>
      </c>
      <c r="M812" s="5">
        <f>2.5/H812</f>
        <v>4.2445159527479258E-2</v>
      </c>
      <c r="N812" s="5">
        <f>7.5/H812</f>
        <v>0.12733547858243777</v>
      </c>
      <c r="O812" s="5">
        <v>0</v>
      </c>
      <c r="P812" s="5">
        <v>0</v>
      </c>
    </row>
    <row r="813" spans="1:16" x14ac:dyDescent="0.25">
      <c r="A813" t="s">
        <v>904</v>
      </c>
      <c r="B813" s="5">
        <v>41.139000000000003</v>
      </c>
      <c r="C813" s="5">
        <v>-75.379000000000005</v>
      </c>
      <c r="D813" s="5" t="s">
        <v>1935</v>
      </c>
      <c r="E813" s="5">
        <v>1</v>
      </c>
      <c r="F813" s="7">
        <v>1</v>
      </c>
      <c r="G813">
        <f>21.3/2</f>
        <v>10.65</v>
      </c>
      <c r="H813" s="5">
        <f t="shared" si="24"/>
        <v>44.518331250000003</v>
      </c>
      <c r="I813">
        <f>3*3/2/H813</f>
        <v>0.1010819559863893</v>
      </c>
      <c r="J813">
        <f>1/H813</f>
        <v>2.2462656885864289E-2</v>
      </c>
      <c r="K813">
        <f>2.7*2.5/H813</f>
        <v>0.15162293397958396</v>
      </c>
      <c r="L813">
        <f>1.5*3.5/H813</f>
        <v>0.11792894865078753</v>
      </c>
      <c r="M813">
        <f>1.6/H813</f>
        <v>3.5940251017382865E-2</v>
      </c>
      <c r="N813">
        <f>7*3/2/H813</f>
        <v>0.23585789730157505</v>
      </c>
      <c r="O813">
        <f>5.5*5.5/2/H813</f>
        <v>0.33974768539869737</v>
      </c>
      <c r="P813">
        <f>8.5*6/2/H813</f>
        <v>0.57279775058953941</v>
      </c>
    </row>
    <row r="814" spans="1:16" x14ac:dyDescent="0.25">
      <c r="A814" t="s">
        <v>1164</v>
      </c>
      <c r="B814" s="5">
        <v>41.158000000000001</v>
      </c>
      <c r="C814" s="5">
        <v>-104.807</v>
      </c>
      <c r="D814" s="5" t="s">
        <v>1970</v>
      </c>
      <c r="E814" s="5">
        <v>1</v>
      </c>
      <c r="F814" s="7">
        <v>1</v>
      </c>
      <c r="G814">
        <f>23/2</f>
        <v>11.5</v>
      </c>
      <c r="H814" s="5">
        <f t="shared" si="24"/>
        <v>51.908124999999998</v>
      </c>
      <c r="I814">
        <f>3*2.5/H814</f>
        <v>0.14448605107581905</v>
      </c>
      <c r="J814" s="5">
        <f>3*2.5/H814</f>
        <v>0.14448605107581905</v>
      </c>
      <c r="K814" s="5">
        <f>4*1.8/2/H814</f>
        <v>6.9353304516393155E-2</v>
      </c>
      <c r="L814" s="5">
        <v>0</v>
      </c>
      <c r="M814" s="5">
        <f>1/H814</f>
        <v>1.9264806810109208E-2</v>
      </c>
      <c r="N814" s="5">
        <v>0</v>
      </c>
      <c r="O814" s="5">
        <f>2.5/H814</f>
        <v>4.8162017025273021E-2</v>
      </c>
      <c r="P814" s="5">
        <f>2*2/H814</f>
        <v>7.7059227240436831E-2</v>
      </c>
    </row>
    <row r="815" spans="1:16" x14ac:dyDescent="0.25">
      <c r="A815" t="s">
        <v>232</v>
      </c>
      <c r="B815">
        <v>41.174999999999997</v>
      </c>
      <c r="C815">
        <v>-73.146000000000001</v>
      </c>
      <c r="D815" t="s">
        <v>1818</v>
      </c>
      <c r="E815" s="5">
        <v>1</v>
      </c>
      <c r="F815" s="7">
        <v>1</v>
      </c>
      <c r="G815">
        <f>19.5/2</f>
        <v>9.75</v>
      </c>
      <c r="H815" s="5">
        <f t="shared" si="24"/>
        <v>37.312031250000004</v>
      </c>
      <c r="I815">
        <f>4*2.5/2/H815</f>
        <v>0.13400503356407323</v>
      </c>
      <c r="J815">
        <f>4*2.5/H815</f>
        <v>0.26801006712814646</v>
      </c>
      <c r="K815">
        <v>0</v>
      </c>
      <c r="L815">
        <v>0</v>
      </c>
      <c r="M815">
        <v>0</v>
      </c>
      <c r="N815">
        <f>6*0.8/H815</f>
        <v>0.12864483222151032</v>
      </c>
      <c r="O815">
        <f>0.7/H815</f>
        <v>1.8760704698970253E-2</v>
      </c>
      <c r="P815">
        <v>0</v>
      </c>
    </row>
    <row r="816" spans="1:16" x14ac:dyDescent="0.25">
      <c r="A816" t="s">
        <v>891</v>
      </c>
      <c r="B816">
        <v>41.177999999999997</v>
      </c>
      <c r="C816">
        <v>-78.899000000000001</v>
      </c>
      <c r="D816" t="s">
        <v>1855</v>
      </c>
      <c r="E816" s="5">
        <v>1</v>
      </c>
      <c r="F816" s="7">
        <v>1</v>
      </c>
      <c r="G816">
        <f>23.5/2</f>
        <v>11.75</v>
      </c>
      <c r="H816" s="5">
        <f t="shared" si="24"/>
        <v>54.189531250000002</v>
      </c>
      <c r="I816">
        <v>0</v>
      </c>
      <c r="J816">
        <v>0</v>
      </c>
      <c r="K816">
        <v>0</v>
      </c>
      <c r="L816">
        <v>0</v>
      </c>
      <c r="M816" s="5">
        <v>0</v>
      </c>
      <c r="N816" s="5">
        <v>0</v>
      </c>
      <c r="O816" s="5">
        <v>0</v>
      </c>
      <c r="P816" s="5">
        <v>0</v>
      </c>
    </row>
    <row r="817" spans="1:16" x14ac:dyDescent="0.25">
      <c r="A817" t="s">
        <v>809</v>
      </c>
      <c r="B817">
        <v>41.179000000000002</v>
      </c>
      <c r="C817">
        <v>-82.179000000000002</v>
      </c>
      <c r="D817" t="s">
        <v>1881</v>
      </c>
      <c r="E817">
        <v>1</v>
      </c>
      <c r="F817" s="7">
        <v>1</v>
      </c>
      <c r="G817">
        <v>9</v>
      </c>
      <c r="H817" s="5">
        <f t="shared" si="24"/>
        <v>31.7925</v>
      </c>
      <c r="I817">
        <v>0</v>
      </c>
      <c r="J817">
        <v>0</v>
      </c>
      <c r="K817">
        <v>0</v>
      </c>
      <c r="L817">
        <v>0</v>
      </c>
      <c r="M817" s="5">
        <v>0</v>
      </c>
      <c r="N817" s="5">
        <v>0</v>
      </c>
      <c r="O817" s="5">
        <v>0</v>
      </c>
      <c r="P817" s="5">
        <v>0</v>
      </c>
    </row>
    <row r="818" spans="1:16" x14ac:dyDescent="0.25">
      <c r="A818" t="s">
        <v>1060</v>
      </c>
      <c r="B818" s="5">
        <v>41.195999999999998</v>
      </c>
      <c r="C818" s="5">
        <v>-112.011</v>
      </c>
      <c r="D818" s="5" t="s">
        <v>1982</v>
      </c>
      <c r="E818" s="5">
        <v>1</v>
      </c>
      <c r="F818" s="7">
        <v>1</v>
      </c>
      <c r="G818">
        <f>25.5/2</f>
        <v>12.75</v>
      </c>
      <c r="H818" s="5">
        <f t="shared" si="24"/>
        <v>63.805781250000003</v>
      </c>
      <c r="I818">
        <v>0</v>
      </c>
      <c r="J818">
        <v>0</v>
      </c>
      <c r="K818">
        <v>0</v>
      </c>
      <c r="L818">
        <v>0</v>
      </c>
      <c r="M818">
        <v>0</v>
      </c>
      <c r="N818">
        <f>2.5/H818</f>
        <v>3.9181402547280933E-2</v>
      </c>
      <c r="O818">
        <f>3.2*8/2/H818</f>
        <v>0.20060878104207838</v>
      </c>
      <c r="P818">
        <v>0</v>
      </c>
    </row>
    <row r="819" spans="1:16" x14ac:dyDescent="0.25">
      <c r="A819" t="s">
        <v>707</v>
      </c>
      <c r="B819" s="5">
        <v>41.2</v>
      </c>
      <c r="C819" s="5">
        <v>-74.623000000000005</v>
      </c>
      <c r="D819" s="5" t="s">
        <v>2222</v>
      </c>
      <c r="E819" s="5">
        <v>1</v>
      </c>
      <c r="F819" s="7">
        <v>1</v>
      </c>
      <c r="G819">
        <f>19/2</f>
        <v>9.5</v>
      </c>
      <c r="H819" s="5">
        <f t="shared" si="24"/>
        <v>35.423124999999999</v>
      </c>
      <c r="I819">
        <f>4*4/2/H819</f>
        <v>0.22584117013956279</v>
      </c>
      <c r="J819">
        <f>2/H819</f>
        <v>5.6460292534890696E-2</v>
      </c>
      <c r="K819">
        <f>5*7/2/H819</f>
        <v>0.4940275596802936</v>
      </c>
      <c r="L819">
        <f>3/H819</f>
        <v>8.4690438802336052E-2</v>
      </c>
      <c r="M819">
        <f>3.5*3/2/H819</f>
        <v>0.14820826790408809</v>
      </c>
      <c r="N819">
        <f>4*3.8/2/H819</f>
        <v>0.21454911163258464</v>
      </c>
      <c r="O819">
        <f>4*4.5/2/H819</f>
        <v>0.25407131640700814</v>
      </c>
      <c r="P819">
        <f>3*4.5/H819</f>
        <v>0.38110697461051224</v>
      </c>
    </row>
    <row r="820" spans="1:16" x14ac:dyDescent="0.25">
      <c r="A820" t="s">
        <v>895</v>
      </c>
      <c r="B820" s="5">
        <v>41.243000000000002</v>
      </c>
      <c r="C820" s="5">
        <v>-76.921999999999997</v>
      </c>
      <c r="D820" s="5" t="s">
        <v>1859</v>
      </c>
      <c r="E820" s="5">
        <v>1</v>
      </c>
      <c r="F820" s="7">
        <v>1</v>
      </c>
      <c r="G820">
        <f>22.5/2</f>
        <v>11.25</v>
      </c>
      <c r="H820" s="5">
        <f t="shared" si="24"/>
        <v>49.675781250000007</v>
      </c>
      <c r="I820">
        <f>4*8/2/H820</f>
        <v>0.32208854289533689</v>
      </c>
      <c r="J820">
        <f>2.5*7/2/H820</f>
        <v>0.17614217189588738</v>
      </c>
      <c r="K820">
        <v>0</v>
      </c>
      <c r="L820">
        <v>0</v>
      </c>
      <c r="M820">
        <v>0</v>
      </c>
      <c r="N820">
        <v>0</v>
      </c>
      <c r="O820">
        <f>4/H820</f>
        <v>8.0522135723834223E-2</v>
      </c>
      <c r="P820">
        <f>3.5/H820</f>
        <v>7.0456868758354954E-2</v>
      </c>
    </row>
    <row r="821" spans="1:16" x14ac:dyDescent="0.25">
      <c r="A821" t="s">
        <v>459</v>
      </c>
      <c r="B821" s="1">
        <v>41.253</v>
      </c>
      <c r="C821" s="1">
        <v>-70.061000000000007</v>
      </c>
      <c r="D821" s="1" t="s">
        <v>1823</v>
      </c>
      <c r="E821" s="5">
        <v>1</v>
      </c>
      <c r="F821" s="7">
        <v>1</v>
      </c>
      <c r="G821" s="5">
        <v>12</v>
      </c>
      <c r="H821" s="5">
        <f t="shared" si="24"/>
        <v>56.519999999999996</v>
      </c>
      <c r="I821" s="5">
        <v>0</v>
      </c>
      <c r="J821" s="5">
        <f>2.5*3.5/H821</f>
        <v>0.15481245576786978</v>
      </c>
      <c r="K821" s="5">
        <v>0</v>
      </c>
      <c r="L821" s="5">
        <f>2.3*2/2/H821</f>
        <v>4.0693559801840057E-2</v>
      </c>
      <c r="M821" s="5">
        <f>(H821-6.5*9/2)/H821</f>
        <v>0.48248407643312097</v>
      </c>
      <c r="N821" s="5">
        <f>5*2.4/2/H821</f>
        <v>0.10615711252653928</v>
      </c>
      <c r="O821" s="5">
        <v>0</v>
      </c>
      <c r="P821" s="5">
        <v>0</v>
      </c>
    </row>
    <row r="822" spans="1:16" x14ac:dyDescent="0.25">
      <c r="A822" t="s">
        <v>458</v>
      </c>
      <c r="B822" s="1">
        <v>41.253</v>
      </c>
      <c r="C822" s="1">
        <v>-70.061000000000007</v>
      </c>
      <c r="D822" s="1" t="s">
        <v>1822</v>
      </c>
      <c r="E822" s="5">
        <v>1</v>
      </c>
      <c r="F822" s="7">
        <v>1</v>
      </c>
      <c r="G822">
        <v>12</v>
      </c>
      <c r="H822" s="5">
        <f t="shared" si="24"/>
        <v>56.519999999999996</v>
      </c>
      <c r="I822">
        <v>0</v>
      </c>
      <c r="J822">
        <f>2.5*3.5/H822</f>
        <v>0.15481245576786978</v>
      </c>
      <c r="K822">
        <v>0</v>
      </c>
      <c r="L822">
        <f>2.3*2/2/H822</f>
        <v>4.0693559801840057E-2</v>
      </c>
      <c r="M822">
        <f>(H822-6.5*9/2)/H822</f>
        <v>0.48248407643312097</v>
      </c>
      <c r="N822">
        <f>5*2.4/2/H822</f>
        <v>0.10615711252653928</v>
      </c>
      <c r="O822">
        <v>0</v>
      </c>
      <c r="P822">
        <v>0</v>
      </c>
    </row>
    <row r="823" spans="1:16" x14ac:dyDescent="0.25">
      <c r="A823" t="s">
        <v>819</v>
      </c>
      <c r="B823">
        <v>41.253999999999998</v>
      </c>
      <c r="C823">
        <v>-80.674000000000007</v>
      </c>
      <c r="D823" s="5" t="s">
        <v>1892</v>
      </c>
      <c r="E823" s="5">
        <v>1</v>
      </c>
      <c r="F823" s="7">
        <v>1</v>
      </c>
      <c r="G823">
        <v>10</v>
      </c>
      <c r="H823" s="5">
        <f t="shared" si="24"/>
        <v>39.25</v>
      </c>
      <c r="I823">
        <v>0</v>
      </c>
      <c r="J823">
        <v>0</v>
      </c>
      <c r="K823">
        <v>0</v>
      </c>
      <c r="L823">
        <v>0</v>
      </c>
      <c r="M823">
        <f>5/H823</f>
        <v>0.12738853503184713</v>
      </c>
      <c r="N823">
        <v>0</v>
      </c>
      <c r="O823" s="5">
        <v>0</v>
      </c>
      <c r="P823" s="5">
        <v>0</v>
      </c>
    </row>
    <row r="824" spans="1:16" x14ac:dyDescent="0.25">
      <c r="A824" t="s">
        <v>233</v>
      </c>
      <c r="B824">
        <v>41.264000000000003</v>
      </c>
      <c r="C824">
        <v>-72.887</v>
      </c>
      <c r="D824" s="5" t="s">
        <v>1819</v>
      </c>
      <c r="E824">
        <v>1</v>
      </c>
      <c r="F824" s="7">
        <v>1</v>
      </c>
      <c r="G824">
        <f>23.8/2</f>
        <v>11.9</v>
      </c>
      <c r="H824" s="5">
        <f t="shared" si="24"/>
        <v>55.581924999999998</v>
      </c>
      <c r="I824">
        <f>2/H824</f>
        <v>3.5982920706686572E-2</v>
      </c>
      <c r="J824" s="5">
        <f>5*4/2/H824</f>
        <v>0.17991460353343286</v>
      </c>
      <c r="K824" s="5">
        <f>0.6/H824</f>
        <v>1.0794876212005972E-2</v>
      </c>
      <c r="L824" s="5">
        <f>3.3*8/2/H824</f>
        <v>0.23748727666413136</v>
      </c>
      <c r="M824" s="5">
        <f>2.5*6/2/H824</f>
        <v>0.13493595265007466</v>
      </c>
      <c r="N824" s="5">
        <f>8.5*10.5/2/H824</f>
        <v>0.80286891826794415</v>
      </c>
      <c r="O824" s="5">
        <f>7*8.5/2/H824</f>
        <v>0.53524594551196281</v>
      </c>
      <c r="P824">
        <f>9*8.5/2/H824</f>
        <v>0.68817335851538075</v>
      </c>
    </row>
    <row r="825" spans="1:16" x14ac:dyDescent="0.25">
      <c r="A825" t="s">
        <v>1175</v>
      </c>
      <c r="B825" s="5">
        <v>41.273000000000003</v>
      </c>
      <c r="C825" s="5">
        <v>-111.03100000000001</v>
      </c>
      <c r="D825" s="5" t="s">
        <v>1987</v>
      </c>
      <c r="E825" s="5">
        <v>1</v>
      </c>
      <c r="F825" s="7">
        <v>1</v>
      </c>
      <c r="G825">
        <f>20.5/2</f>
        <v>10.25</v>
      </c>
      <c r="H825" s="5">
        <f t="shared" si="24"/>
        <v>41.237031250000001</v>
      </c>
      <c r="I825">
        <v>0</v>
      </c>
      <c r="J825">
        <f>4/H825</f>
        <v>9.7000193242572474E-2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16" x14ac:dyDescent="0.25">
      <c r="A826" t="s">
        <v>663</v>
      </c>
      <c r="B826" s="5">
        <v>41.31</v>
      </c>
      <c r="C826" s="5">
        <v>-95.899000000000001</v>
      </c>
      <c r="D826" s="5" t="s">
        <v>1948</v>
      </c>
      <c r="E826" s="5">
        <v>1</v>
      </c>
      <c r="F826" s="7">
        <v>1</v>
      </c>
      <c r="G826">
        <v>10.5</v>
      </c>
      <c r="H826" s="5">
        <f t="shared" si="24"/>
        <v>43.273125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t="s">
        <v>1165</v>
      </c>
      <c r="B827" s="5">
        <v>41.313000000000002</v>
      </c>
      <c r="C827" s="5">
        <v>-105.67400000000001</v>
      </c>
      <c r="D827" s="5" t="s">
        <v>1971</v>
      </c>
      <c r="E827" s="5">
        <v>1</v>
      </c>
      <c r="F827" s="7">
        <v>1</v>
      </c>
      <c r="G827">
        <v>12</v>
      </c>
      <c r="H827" s="5">
        <f t="shared" si="24"/>
        <v>56.519999999999996</v>
      </c>
      <c r="I827">
        <f>4*2.7/2/H827</f>
        <v>9.5541401273885357E-2</v>
      </c>
      <c r="J827" s="5">
        <f>1/H827</f>
        <v>1.7692852087756547E-2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</row>
    <row r="828" spans="1:16" x14ac:dyDescent="0.25">
      <c r="A828" t="s">
        <v>234</v>
      </c>
      <c r="B828" s="5">
        <v>41.328000000000003</v>
      </c>
      <c r="C828" s="5">
        <v>-72.049000000000007</v>
      </c>
      <c r="D828" s="5" t="s">
        <v>1820</v>
      </c>
      <c r="E828" s="5">
        <v>1</v>
      </c>
      <c r="F828" s="7">
        <v>1</v>
      </c>
      <c r="G828">
        <v>11</v>
      </c>
      <c r="H828" s="5">
        <f t="shared" si="24"/>
        <v>47.4925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x14ac:dyDescent="0.25">
      <c r="A829" t="s">
        <v>820</v>
      </c>
      <c r="B829">
        <v>41.338000000000001</v>
      </c>
      <c r="C829">
        <v>-84.429000000000002</v>
      </c>
      <c r="D829" t="s">
        <v>1893</v>
      </c>
      <c r="E829" s="5">
        <v>1</v>
      </c>
      <c r="F829" s="7">
        <v>1</v>
      </c>
      <c r="G829">
        <v>11</v>
      </c>
      <c r="H829" s="5">
        <f t="shared" si="24"/>
        <v>47.4925</v>
      </c>
      <c r="I829">
        <v>0</v>
      </c>
      <c r="J829">
        <f>6.5*6/2/H829</f>
        <v>0.4105911459704164</v>
      </c>
      <c r="K829">
        <v>0</v>
      </c>
      <c r="L829">
        <f>7*5/2/H829</f>
        <v>0.36847923356319418</v>
      </c>
      <c r="M829">
        <f>5.5*2.5/2/H829</f>
        <v>0.14475969889982629</v>
      </c>
      <c r="N829">
        <f>2.4/H829</f>
        <v>5.0534294888666627E-2</v>
      </c>
      <c r="O829">
        <f>3.5*7/H829</f>
        <v>0.51587092698847181</v>
      </c>
      <c r="P829">
        <f>7/H829</f>
        <v>0.14739169342527766</v>
      </c>
    </row>
    <row r="830" spans="1:16" x14ac:dyDescent="0.25">
      <c r="A830" t="s">
        <v>894</v>
      </c>
      <c r="B830" s="5">
        <v>41.338999999999999</v>
      </c>
      <c r="C830" s="5">
        <v>-75.727000000000004</v>
      </c>
      <c r="D830" s="5" t="s">
        <v>1858</v>
      </c>
      <c r="E830" s="5">
        <v>1</v>
      </c>
      <c r="F830" s="7">
        <v>1</v>
      </c>
      <c r="G830">
        <v>12.5</v>
      </c>
      <c r="H830" s="5">
        <f t="shared" si="24"/>
        <v>61.328125</v>
      </c>
      <c r="I830">
        <v>0</v>
      </c>
      <c r="J830" s="5">
        <f>4*4/2/H830</f>
        <v>0.13044585987261145</v>
      </c>
      <c r="K830" s="5">
        <f>3.5*3/H830</f>
        <v>0.17121019108280255</v>
      </c>
      <c r="L830" s="5">
        <f>1.5*7/H830</f>
        <v>0.17121019108280255</v>
      </c>
      <c r="M830" s="5">
        <f>4.5*5/2/H830</f>
        <v>0.18343949044585986</v>
      </c>
      <c r="N830" s="5">
        <f>6*3.5/2/H830</f>
        <v>0.17121019108280255</v>
      </c>
      <c r="O830" s="5">
        <v>0</v>
      </c>
      <c r="P830" s="5">
        <v>0</v>
      </c>
    </row>
    <row r="831" spans="1:16" x14ac:dyDescent="0.25">
      <c r="A831" t="s">
        <v>905</v>
      </c>
      <c r="B831" s="5">
        <v>41.35</v>
      </c>
      <c r="C831" s="5">
        <v>-71.799000000000007</v>
      </c>
      <c r="D831" s="5" t="s">
        <v>1279</v>
      </c>
      <c r="E831" s="5">
        <v>1</v>
      </c>
      <c r="F831" s="7">
        <v>1</v>
      </c>
      <c r="G831">
        <f>22.5/2</f>
        <v>11.25</v>
      </c>
      <c r="H831" s="5">
        <f t="shared" si="24"/>
        <v>49.675781250000007</v>
      </c>
      <c r="I831">
        <f>8.5*7/2/H831</f>
        <v>0.59888338444601708</v>
      </c>
      <c r="J831" s="5">
        <f>5.5*4/H831</f>
        <v>0.44287174648108824</v>
      </c>
      <c r="K831" s="5">
        <v>0</v>
      </c>
      <c r="L831" s="5">
        <f>4.5*3/2/H831</f>
        <v>0.13588110403397025</v>
      </c>
      <c r="M831" s="5">
        <f>4.5/H831</f>
        <v>9.0587402689313506E-2</v>
      </c>
      <c r="N831" s="5">
        <f>3*4/2/H831</f>
        <v>0.12078320358575134</v>
      </c>
      <c r="O831" s="5">
        <f>9*8.5/2/H831</f>
        <v>0.76999292285916476</v>
      </c>
      <c r="P831" s="5">
        <f>8.5*8/2/H831</f>
        <v>0.68443815365259097</v>
      </c>
    </row>
    <row r="832" spans="1:16" x14ac:dyDescent="0.25">
      <c r="A832" t="s">
        <v>671</v>
      </c>
      <c r="B832" s="5">
        <v>41.366999999999997</v>
      </c>
      <c r="C832" s="5">
        <v>-96.016999999999996</v>
      </c>
      <c r="D832" s="5" t="s">
        <v>1957</v>
      </c>
      <c r="E832" s="5">
        <v>1</v>
      </c>
      <c r="F832" s="7">
        <v>0</v>
      </c>
      <c r="G832">
        <v>11</v>
      </c>
      <c r="H832" s="5">
        <f t="shared" si="24"/>
        <v>47.4925</v>
      </c>
      <c r="I832">
        <f>0.4/H832</f>
        <v>8.422382481444439E-3</v>
      </c>
      <c r="J832">
        <f>5*4/2/H832</f>
        <v>0.21055956203611095</v>
      </c>
      <c r="K832">
        <f>0.7/H832</f>
        <v>1.4739169342527766E-2</v>
      </c>
      <c r="L832">
        <f>6*3/2/H832</f>
        <v>0.18950360583249987</v>
      </c>
      <c r="M832">
        <f>3*3/2/H832</f>
        <v>9.4751802916249933E-2</v>
      </c>
      <c r="N832">
        <f>2.5*4/2/H832</f>
        <v>0.10527978101805548</v>
      </c>
      <c r="O832">
        <v>0</v>
      </c>
      <c r="P832">
        <f>0.4/H832</f>
        <v>8.422382481444439E-3</v>
      </c>
    </row>
    <row r="833" spans="1:16" x14ac:dyDescent="0.25">
      <c r="A833" t="s">
        <v>237</v>
      </c>
      <c r="B833">
        <v>41.371000000000002</v>
      </c>
      <c r="C833">
        <v>-73.483000000000004</v>
      </c>
      <c r="D833" t="s">
        <v>1837</v>
      </c>
      <c r="E833" s="5">
        <v>1</v>
      </c>
      <c r="F833" s="7">
        <v>1</v>
      </c>
      <c r="G833">
        <v>13</v>
      </c>
      <c r="H833" s="5">
        <f t="shared" si="24"/>
        <v>66.332499999999996</v>
      </c>
      <c r="I833">
        <f>3.5/H833</f>
        <v>5.2764481965853843E-2</v>
      </c>
      <c r="J833" s="5">
        <f>6.5*4/H833</f>
        <v>0.39196472317491426</v>
      </c>
      <c r="K833" s="5">
        <v>0</v>
      </c>
      <c r="L833" s="5">
        <f>3.5*1.5/H833</f>
        <v>7.9146722948780765E-2</v>
      </c>
      <c r="M833" s="5">
        <f>8*6.5/2/H833</f>
        <v>0.39196472317491426</v>
      </c>
      <c r="N833" s="5">
        <f>2/H833</f>
        <v>3.0151132551916482E-2</v>
      </c>
      <c r="O833" s="5">
        <f>9.5*6/2/H833</f>
        <v>0.42965363886480989</v>
      </c>
      <c r="P833" s="5">
        <f>9*4.5/2/H833</f>
        <v>0.30528021708815439</v>
      </c>
    </row>
    <row r="834" spans="1:16" x14ac:dyDescent="0.25">
      <c r="A834" t="s">
        <v>462</v>
      </c>
      <c r="B834" s="5">
        <v>41.393000000000001</v>
      </c>
      <c r="C834" s="5">
        <v>-70.614999999999995</v>
      </c>
      <c r="D834" s="5" t="s">
        <v>1826</v>
      </c>
      <c r="E834" s="5">
        <v>1</v>
      </c>
      <c r="F834" s="7">
        <v>1</v>
      </c>
      <c r="G834">
        <f>24.5/2</f>
        <v>12.25</v>
      </c>
      <c r="H834" s="5">
        <f t="shared" si="24"/>
        <v>58.899531250000003</v>
      </c>
      <c r="I834">
        <f>4.5*3/2/H834</f>
        <v>0.114601930724194</v>
      </c>
      <c r="J834" s="5">
        <v>0</v>
      </c>
      <c r="K834" s="5">
        <v>0</v>
      </c>
      <c r="L834" s="5">
        <v>0</v>
      </c>
      <c r="M834" s="5">
        <v>0</v>
      </c>
      <c r="N834" s="5">
        <f>7*7.5/2/H834</f>
        <v>0.44567417503853224</v>
      </c>
      <c r="O834" s="5">
        <f>(H834-6*7/2)/H834</f>
        <v>0.64346065996917423</v>
      </c>
      <c r="P834" s="5">
        <f>4*5/2/H834</f>
        <v>0.16978063810991703</v>
      </c>
    </row>
    <row r="835" spans="1:16" x14ac:dyDescent="0.25">
      <c r="A835" t="s">
        <v>814</v>
      </c>
      <c r="B835" s="5">
        <v>41.405000000000001</v>
      </c>
      <c r="C835" s="5">
        <v>-81.852999999999994</v>
      </c>
      <c r="D835" s="5" t="s">
        <v>1887</v>
      </c>
      <c r="E835">
        <v>1</v>
      </c>
      <c r="F835" s="7">
        <v>1</v>
      </c>
      <c r="G835">
        <v>12</v>
      </c>
      <c r="H835" s="5">
        <f t="shared" si="24"/>
        <v>56.519999999999996</v>
      </c>
      <c r="I835">
        <v>0</v>
      </c>
      <c r="J835">
        <v>0</v>
      </c>
      <c r="K835">
        <v>0</v>
      </c>
      <c r="L835" s="5">
        <v>0</v>
      </c>
      <c r="M835" s="5">
        <f>0.5/H835</f>
        <v>8.8464260438782735E-3</v>
      </c>
      <c r="N835" s="5">
        <f>2/H835</f>
        <v>3.5385704175513094E-2</v>
      </c>
      <c r="O835" s="5">
        <v>0</v>
      </c>
      <c r="P835" s="5">
        <v>0</v>
      </c>
    </row>
    <row r="836" spans="1:16" x14ac:dyDescent="0.25">
      <c r="A836" t="s">
        <v>674</v>
      </c>
      <c r="B836" s="5">
        <v>41.436999999999998</v>
      </c>
      <c r="C836" s="5">
        <v>-99.638999999999996</v>
      </c>
      <c r="D836" s="5" t="s">
        <v>1960</v>
      </c>
      <c r="E836" s="5">
        <v>1</v>
      </c>
      <c r="F836" s="7">
        <v>1</v>
      </c>
      <c r="G836">
        <f>19/2</f>
        <v>9.5</v>
      </c>
      <c r="H836" s="5">
        <f t="shared" si="24"/>
        <v>35.423124999999999</v>
      </c>
      <c r="I836">
        <f>2.5/H836</f>
        <v>7.0575365668613374E-2</v>
      </c>
      <c r="J836">
        <f>2.5/H836</f>
        <v>7.0575365668613374E-2</v>
      </c>
      <c r="K836">
        <v>0</v>
      </c>
      <c r="L836">
        <f>1/H836</f>
        <v>2.8230146267445348E-2</v>
      </c>
      <c r="M836">
        <f>3.5/H836</f>
        <v>9.8805511936058715E-2</v>
      </c>
      <c r="N836">
        <v>0</v>
      </c>
      <c r="O836">
        <v>0</v>
      </c>
      <c r="P836">
        <v>0</v>
      </c>
    </row>
    <row r="837" spans="1:16" x14ac:dyDescent="0.25">
      <c r="A837" t="s">
        <v>416</v>
      </c>
      <c r="B837" s="5">
        <v>41.453000000000003</v>
      </c>
      <c r="C837" s="5">
        <v>-87.006</v>
      </c>
      <c r="D837" s="5" t="s">
        <v>1908</v>
      </c>
      <c r="E837" s="5">
        <v>1</v>
      </c>
      <c r="F837" s="7">
        <v>1</v>
      </c>
      <c r="G837">
        <f>25.3/2</f>
        <v>12.65</v>
      </c>
      <c r="H837" s="5">
        <f t="shared" si="24"/>
        <v>62.808831250000004</v>
      </c>
      <c r="I837">
        <f>5*8.5/2/H837</f>
        <v>0.33832821877257901</v>
      </c>
      <c r="J837">
        <f>5*0.7/H837</f>
        <v>5.5724647797836549E-2</v>
      </c>
      <c r="K837">
        <v>0</v>
      </c>
      <c r="L837">
        <v>0</v>
      </c>
      <c r="M837">
        <f>2.5/H837</f>
        <v>3.9803319855597534E-2</v>
      </c>
      <c r="N837">
        <f>2.5/H837</f>
        <v>3.9803319855597534E-2</v>
      </c>
      <c r="O837">
        <v>0</v>
      </c>
      <c r="P837">
        <f>7*4/2/H837</f>
        <v>0.2228985911913462</v>
      </c>
    </row>
    <row r="838" spans="1:16" x14ac:dyDescent="0.25">
      <c r="A838" t="s">
        <v>402</v>
      </c>
      <c r="B838">
        <v>41.465000000000003</v>
      </c>
      <c r="C838">
        <v>-90.522999999999996</v>
      </c>
      <c r="D838" t="s">
        <v>1936</v>
      </c>
      <c r="E838" s="5">
        <v>1</v>
      </c>
      <c r="F838" s="7">
        <v>1</v>
      </c>
      <c r="G838">
        <v>10.5</v>
      </c>
      <c r="H838" s="5">
        <f t="shared" si="24"/>
        <v>43.273125</v>
      </c>
      <c r="I838">
        <f>5.5/H838</f>
        <v>0.12709967214061846</v>
      </c>
      <c r="J838">
        <v>0</v>
      </c>
      <c r="K838">
        <v>0</v>
      </c>
      <c r="L838">
        <v>0</v>
      </c>
      <c r="M838">
        <v>0</v>
      </c>
      <c r="N838" s="5">
        <v>0</v>
      </c>
      <c r="O838" s="5">
        <v>0</v>
      </c>
      <c r="P838" s="5">
        <v>0</v>
      </c>
    </row>
    <row r="839" spans="1:16" x14ac:dyDescent="0.25">
      <c r="A839" t="s">
        <v>182</v>
      </c>
      <c r="B839">
        <v>41.482999999999997</v>
      </c>
      <c r="C839">
        <v>-120.56699999999999</v>
      </c>
      <c r="D839" s="3" t="s">
        <v>1385</v>
      </c>
      <c r="E839" s="5">
        <v>1</v>
      </c>
      <c r="F839" s="7">
        <v>1</v>
      </c>
      <c r="G839">
        <f>19/2</f>
        <v>9.5</v>
      </c>
      <c r="H839" s="5">
        <f t="shared" si="24"/>
        <v>35.423124999999999</v>
      </c>
      <c r="I839">
        <f>2.4*2.4/H839</f>
        <v>0.1626056425004852</v>
      </c>
      <c r="J839">
        <f>6.5*4/2/H839</f>
        <v>0.36699190147678956</v>
      </c>
      <c r="K839">
        <f>6*2.5/H839</f>
        <v>0.42345219401168022</v>
      </c>
      <c r="L839">
        <f>4*5.2/2/H839</f>
        <v>0.29359352118143162</v>
      </c>
      <c r="M839">
        <f>2.5*1.8/H839</f>
        <v>0.12703565820350407</v>
      </c>
      <c r="N839">
        <v>0</v>
      </c>
      <c r="O839">
        <v>0</v>
      </c>
      <c r="P839">
        <f>1.3*1.4/H839</f>
        <v>5.1378866206750529E-2</v>
      </c>
    </row>
    <row r="840" spans="1:16" x14ac:dyDescent="0.25">
      <c r="A840" t="s">
        <v>766</v>
      </c>
      <c r="B840">
        <v>41.503999999999998</v>
      </c>
      <c r="C840">
        <v>-74.105000000000004</v>
      </c>
      <c r="D840" t="s">
        <v>1817</v>
      </c>
      <c r="E840" s="5">
        <v>1</v>
      </c>
      <c r="F840" s="7">
        <v>0</v>
      </c>
      <c r="G840">
        <f>19.4/2</f>
        <v>9.6999999999999993</v>
      </c>
      <c r="H840" s="5">
        <f t="shared" si="24"/>
        <v>36.930324999999996</v>
      </c>
      <c r="I840">
        <v>0</v>
      </c>
      <c r="J840">
        <v>0</v>
      </c>
      <c r="K840">
        <v>0</v>
      </c>
      <c r="L840">
        <f>6*2.5/2/H840</f>
        <v>0.20308513396510863</v>
      </c>
      <c r="M840">
        <f>4*5.5/2/H840</f>
        <v>0.29785819648215933</v>
      </c>
      <c r="N840">
        <f>2.5/H840</f>
        <v>6.7695044655036216E-2</v>
      </c>
      <c r="O840">
        <v>0</v>
      </c>
      <c r="P840">
        <f>2.5*3/2/H840</f>
        <v>0.10154256698255432</v>
      </c>
    </row>
    <row r="841" spans="1:16" x14ac:dyDescent="0.25">
      <c r="A841" t="s">
        <v>759</v>
      </c>
      <c r="B841">
        <v>41.509</v>
      </c>
      <c r="C841">
        <v>-74.265000000000001</v>
      </c>
      <c r="D841" t="s">
        <v>1807</v>
      </c>
      <c r="E841" s="5">
        <v>1</v>
      </c>
      <c r="F841" s="7">
        <v>0</v>
      </c>
      <c r="G841">
        <v>10.5</v>
      </c>
      <c r="H841" s="5">
        <f t="shared" si="24"/>
        <v>43.273125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f>7/H841</f>
        <v>0.16176321908805985</v>
      </c>
      <c r="P841">
        <f>7/H841</f>
        <v>0.16176321908805985</v>
      </c>
    </row>
    <row r="842" spans="1:16" x14ac:dyDescent="0.25">
      <c r="A842" t="s">
        <v>231</v>
      </c>
      <c r="B842" s="5">
        <v>41.51</v>
      </c>
      <c r="C842" s="5">
        <v>-72.828000000000003</v>
      </c>
      <c r="D842" s="5" t="s">
        <v>1811</v>
      </c>
      <c r="E842" s="5">
        <v>1</v>
      </c>
      <c r="F842" s="7">
        <v>1</v>
      </c>
      <c r="G842">
        <f>18.3/2</f>
        <v>9.15</v>
      </c>
      <c r="H842" s="5">
        <f t="shared" si="24"/>
        <v>32.861081250000005</v>
      </c>
      <c r="I842">
        <f>4/H842</f>
        <v>0.12172454002863949</v>
      </c>
      <c r="J842">
        <f>3*7/2/H842</f>
        <v>0.31952691757517865</v>
      </c>
      <c r="K842">
        <f>5.5*3.5/2/H842</f>
        <v>0.29289967444391374</v>
      </c>
      <c r="L842">
        <f>3/H842</f>
        <v>9.1293405021479618E-2</v>
      </c>
      <c r="M842">
        <f>2/H842</f>
        <v>6.0862270014319743E-2</v>
      </c>
      <c r="N842">
        <f>4.5*6/2/H842</f>
        <v>0.41082032259665824</v>
      </c>
      <c r="O842">
        <f>7*3.5/2/H842</f>
        <v>0.37278140383770841</v>
      </c>
      <c r="P842">
        <f>3.5*3/2/H842</f>
        <v>0.15976345878758932</v>
      </c>
    </row>
    <row r="843" spans="1:16" x14ac:dyDescent="0.25">
      <c r="A843" t="s">
        <v>816</v>
      </c>
      <c r="B843" s="5">
        <v>41.518000000000001</v>
      </c>
      <c r="C843" s="5">
        <v>-81.683999999999997</v>
      </c>
      <c r="D843" s="5" t="s">
        <v>1889</v>
      </c>
      <c r="E843" s="5">
        <v>1</v>
      </c>
      <c r="F843" s="7">
        <v>0</v>
      </c>
      <c r="G843" s="5">
        <f>19.2/2</f>
        <v>9.6</v>
      </c>
      <c r="H843" s="5">
        <f t="shared" si="24"/>
        <v>36.172799999999995</v>
      </c>
      <c r="I843" s="5">
        <v>0</v>
      </c>
      <c r="J843" s="5">
        <v>0</v>
      </c>
      <c r="K843" s="5">
        <f>4/H843</f>
        <v>0.11058032554847842</v>
      </c>
      <c r="L843" s="5">
        <f>2.5*6.5/2/H843</f>
        <v>0.2246162862703468</v>
      </c>
      <c r="M843" s="5">
        <f>1.5/H843</f>
        <v>4.146762208067941E-2</v>
      </c>
      <c r="N843" s="5">
        <v>0</v>
      </c>
      <c r="O843" s="5">
        <v>0</v>
      </c>
      <c r="P843" s="5">
        <v>0</v>
      </c>
    </row>
    <row r="844" spans="1:16" x14ac:dyDescent="0.25">
      <c r="A844" t="s">
        <v>415</v>
      </c>
      <c r="B844" s="5">
        <v>41.527000000000001</v>
      </c>
      <c r="C844" s="5">
        <v>-85.792000000000002</v>
      </c>
      <c r="D844" s="5" t="s">
        <v>1723</v>
      </c>
      <c r="E844">
        <v>1</v>
      </c>
      <c r="F844" s="7">
        <v>1</v>
      </c>
      <c r="G844">
        <f>19.5/2</f>
        <v>9.75</v>
      </c>
      <c r="H844" s="5">
        <f t="shared" si="24"/>
        <v>37.312031250000004</v>
      </c>
      <c r="I844">
        <v>0</v>
      </c>
      <c r="J844">
        <v>0</v>
      </c>
      <c r="K844">
        <v>0</v>
      </c>
      <c r="L844">
        <v>0</v>
      </c>
      <c r="M844">
        <f>2.7/H844</f>
        <v>7.2362718124599545E-2</v>
      </c>
      <c r="N844">
        <v>0</v>
      </c>
      <c r="O844">
        <v>0</v>
      </c>
      <c r="P844">
        <v>0</v>
      </c>
    </row>
    <row r="845" spans="1:16" x14ac:dyDescent="0.25">
      <c r="A845" t="s">
        <v>908</v>
      </c>
      <c r="B845" s="5">
        <v>41.53</v>
      </c>
      <c r="C845" s="5">
        <v>-71.284000000000006</v>
      </c>
      <c r="D845" s="5" t="s">
        <v>1833</v>
      </c>
      <c r="E845" s="5">
        <v>1</v>
      </c>
      <c r="F845" s="7">
        <v>1</v>
      </c>
      <c r="G845">
        <v>13</v>
      </c>
      <c r="H845" s="5">
        <f>3.14*G845*G845/8</f>
        <v>66.332499999999996</v>
      </c>
      <c r="I845">
        <f>1.5/H845</f>
        <v>2.2613349413937361E-2</v>
      </c>
      <c r="J845">
        <f>0.5/H845</f>
        <v>7.5377831379791205E-3</v>
      </c>
      <c r="K845">
        <f>4.5*2.5/2/H845</f>
        <v>8.4800060302265112E-2</v>
      </c>
      <c r="L845">
        <f>3.6*5.4/2/H845</f>
        <v>0.14653450420231412</v>
      </c>
      <c r="M845">
        <f>2.5*4/2/H845</f>
        <v>7.5377831379791205E-2</v>
      </c>
      <c r="N845">
        <f>9.5*11/2/H845</f>
        <v>0.78769833791881816</v>
      </c>
      <c r="O845">
        <f>9.5*10.5/2/H845</f>
        <v>0.75189386801341729</v>
      </c>
      <c r="P845">
        <f>3*8.5/2/H845</f>
        <v>0.19221347001846759</v>
      </c>
    </row>
    <row r="846" spans="1:16" x14ac:dyDescent="0.25">
      <c r="A846" t="s">
        <v>352</v>
      </c>
      <c r="B846">
        <v>41.537999999999997</v>
      </c>
      <c r="C846">
        <v>-93.665999999999997</v>
      </c>
      <c r="D846" t="s">
        <v>1939</v>
      </c>
      <c r="E846" s="5">
        <v>1</v>
      </c>
      <c r="F846" s="7">
        <v>1</v>
      </c>
      <c r="G846">
        <v>11</v>
      </c>
      <c r="H846" s="5">
        <f>3.14*G846*G846/8</f>
        <v>47.4925</v>
      </c>
      <c r="I846">
        <v>0</v>
      </c>
      <c r="J846">
        <v>0</v>
      </c>
      <c r="K846">
        <f>4*3/2/H846</f>
        <v>0.12633573722166658</v>
      </c>
      <c r="L846">
        <f>3/H846</f>
        <v>6.3167868610833289E-2</v>
      </c>
      <c r="M846">
        <v>0</v>
      </c>
      <c r="N846">
        <v>0</v>
      </c>
      <c r="O846">
        <v>0</v>
      </c>
      <c r="P846">
        <v>0</v>
      </c>
    </row>
    <row r="847" spans="1:16" x14ac:dyDescent="0.25">
      <c r="A847" t="s">
        <v>798</v>
      </c>
      <c r="B847">
        <v>41.563000000000002</v>
      </c>
      <c r="C847">
        <v>-83.475999999999999</v>
      </c>
      <c r="D847" t="s">
        <v>1700</v>
      </c>
      <c r="E847" s="5">
        <v>1</v>
      </c>
      <c r="F847" s="7">
        <v>1</v>
      </c>
      <c r="G847">
        <v>10</v>
      </c>
      <c r="H847" s="5">
        <f>3.14*G847*G847/8</f>
        <v>39.25</v>
      </c>
      <c r="I847">
        <f>2/H847</f>
        <v>5.0955414012738856E-2</v>
      </c>
      <c r="J847" s="5">
        <f>6/H847</f>
        <v>0.15286624203821655</v>
      </c>
      <c r="K847" s="5">
        <f>4/H847</f>
        <v>0.10191082802547771</v>
      </c>
      <c r="L847" s="5">
        <f>0.3/H847</f>
        <v>7.6433121019108281E-3</v>
      </c>
      <c r="M847">
        <f>1/H847</f>
        <v>2.5477707006369428E-2</v>
      </c>
      <c r="N847">
        <f>4/H847</f>
        <v>0.10191082802547771</v>
      </c>
      <c r="O847">
        <v>0</v>
      </c>
      <c r="P847">
        <f>0.5/H847</f>
        <v>1.2738853503184714E-2</v>
      </c>
    </row>
    <row r="848" spans="1:16" x14ac:dyDescent="0.25">
      <c r="A848" t="s">
        <v>818</v>
      </c>
      <c r="B848" s="5">
        <v>41.564999999999998</v>
      </c>
      <c r="C848" s="5">
        <v>-81.486000000000004</v>
      </c>
      <c r="D848" t="s">
        <v>1891</v>
      </c>
      <c r="E848" s="5">
        <v>1</v>
      </c>
      <c r="F848" s="7">
        <v>0</v>
      </c>
      <c r="G848">
        <v>12</v>
      </c>
      <c r="H848" s="5">
        <f t="shared" ref="H848:H874" si="25">3.14*G848*G848/8</f>
        <v>56.519999999999996</v>
      </c>
      <c r="I848">
        <f>8*2.5/2/H848</f>
        <v>0.17692852087756547</v>
      </c>
      <c r="J848">
        <v>0</v>
      </c>
      <c r="K848">
        <f>2.3/H848</f>
        <v>4.0693559801840057E-2</v>
      </c>
      <c r="L848">
        <f>2.5/H848</f>
        <v>4.4232130219391368E-2</v>
      </c>
      <c r="M848">
        <v>0</v>
      </c>
      <c r="N848">
        <v>0</v>
      </c>
      <c r="O848">
        <f>2/H848</f>
        <v>3.5385704175513094E-2</v>
      </c>
      <c r="P848">
        <f>2.5*9/2/H848</f>
        <v>0.19904458598726116</v>
      </c>
    </row>
    <row r="849" spans="1:16" x14ac:dyDescent="0.25">
      <c r="A849" t="s">
        <v>822</v>
      </c>
      <c r="B849" s="5">
        <v>41.588999999999999</v>
      </c>
      <c r="C849" s="5">
        <v>-83.801000000000002</v>
      </c>
      <c r="D849" t="s">
        <v>1919</v>
      </c>
      <c r="E849" s="5">
        <v>1</v>
      </c>
      <c r="F849" s="7">
        <v>1</v>
      </c>
      <c r="G849">
        <v>11</v>
      </c>
      <c r="H849" s="5">
        <f t="shared" si="25"/>
        <v>47.4925</v>
      </c>
      <c r="I849">
        <v>0</v>
      </c>
      <c r="J849">
        <v>0</v>
      </c>
      <c r="K849">
        <v>0</v>
      </c>
      <c r="L849">
        <f>6.5*7/2/H849</f>
        <v>0.47902300363215244</v>
      </c>
      <c r="M849">
        <f>5*5.5/2/H849</f>
        <v>0.28951939779965258</v>
      </c>
      <c r="N849">
        <f>2/H849</f>
        <v>4.2111912407222195E-2</v>
      </c>
      <c r="O849">
        <v>0</v>
      </c>
      <c r="P849">
        <v>0</v>
      </c>
    </row>
    <row r="850" spans="1:16" x14ac:dyDescent="0.25">
      <c r="A850" t="s">
        <v>1169</v>
      </c>
      <c r="B850" s="2">
        <v>41.594000000000001</v>
      </c>
      <c r="C850" s="2">
        <v>-109.065</v>
      </c>
      <c r="D850" s="2" t="s">
        <v>2311</v>
      </c>
      <c r="E850" s="5">
        <v>1</v>
      </c>
      <c r="F850" s="7">
        <v>0</v>
      </c>
      <c r="G850" s="5">
        <f t="shared" ref="G850:G851" si="26">22.2/2</f>
        <v>11.1</v>
      </c>
      <c r="H850" s="5">
        <f t="shared" si="25"/>
        <v>48.359924999999997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</row>
    <row r="851" spans="1:16" x14ac:dyDescent="0.25">
      <c r="A851" t="s">
        <v>1170</v>
      </c>
      <c r="B851" s="2">
        <v>41.594000000000001</v>
      </c>
      <c r="C851" s="2">
        <v>-109.065</v>
      </c>
      <c r="D851" s="2" t="s">
        <v>2311</v>
      </c>
      <c r="E851" s="5">
        <v>1</v>
      </c>
      <c r="F851" s="7">
        <v>0</v>
      </c>
      <c r="G851" s="5">
        <f t="shared" si="26"/>
        <v>11.1</v>
      </c>
      <c r="H851" s="5">
        <f t="shared" si="25"/>
        <v>48.359924999999997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</row>
    <row r="852" spans="1:16" x14ac:dyDescent="0.25">
      <c r="A852" t="s">
        <v>1168</v>
      </c>
      <c r="B852" s="2">
        <v>41.594000000000001</v>
      </c>
      <c r="C852" s="2">
        <v>-109.065</v>
      </c>
      <c r="D852" s="2" t="s">
        <v>1980</v>
      </c>
      <c r="E852" s="5">
        <v>1</v>
      </c>
      <c r="F852" s="7">
        <v>0</v>
      </c>
      <c r="G852">
        <f>22.2/2</f>
        <v>11.1</v>
      </c>
      <c r="H852" s="5">
        <f t="shared" si="25"/>
        <v>48.359924999999997</v>
      </c>
      <c r="I852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</row>
    <row r="853" spans="1:16" x14ac:dyDescent="0.25">
      <c r="A853" t="s">
        <v>907</v>
      </c>
      <c r="B853" s="5">
        <v>41.597000000000001</v>
      </c>
      <c r="C853" s="5">
        <v>-71.412000000000006</v>
      </c>
      <c r="D853" s="5" t="s">
        <v>1831</v>
      </c>
      <c r="E853" s="5">
        <v>1</v>
      </c>
      <c r="F853" s="7">
        <v>0</v>
      </c>
      <c r="G853">
        <f>23.5/2</f>
        <v>11.75</v>
      </c>
      <c r="H853" s="5">
        <f t="shared" si="25"/>
        <v>54.189531250000002</v>
      </c>
      <c r="I853">
        <v>0</v>
      </c>
      <c r="J853">
        <v>0</v>
      </c>
      <c r="K853">
        <v>0</v>
      </c>
      <c r="L853">
        <v>0</v>
      </c>
      <c r="M853">
        <f>0.5/H853</f>
        <v>9.2268744251224714E-3</v>
      </c>
      <c r="N853">
        <f>3/H853</f>
        <v>5.5361246550734836E-2</v>
      </c>
      <c r="O853">
        <f>3.8/H853</f>
        <v>7.0124245630930782E-2</v>
      </c>
      <c r="P853">
        <v>0</v>
      </c>
    </row>
    <row r="854" spans="1:16" x14ac:dyDescent="0.25">
      <c r="A854" t="s">
        <v>349</v>
      </c>
      <c r="B854" s="5">
        <v>41.613999999999997</v>
      </c>
      <c r="C854" s="5">
        <v>-90.590999999999994</v>
      </c>
      <c r="D854" s="5" t="s">
        <v>1916</v>
      </c>
      <c r="E854" s="5">
        <v>1</v>
      </c>
      <c r="F854" s="7">
        <v>1</v>
      </c>
      <c r="G854">
        <v>9.5</v>
      </c>
      <c r="H854" s="5">
        <f t="shared" si="25"/>
        <v>35.423124999999999</v>
      </c>
      <c r="I854">
        <v>0</v>
      </c>
      <c r="J854" s="5">
        <v>0</v>
      </c>
      <c r="K854" s="5">
        <v>0</v>
      </c>
      <c r="L854" s="5">
        <v>0</v>
      </c>
      <c r="M854" s="5">
        <f>0.4/H854</f>
        <v>1.1292058506978141E-2</v>
      </c>
      <c r="N854" s="5">
        <v>0</v>
      </c>
      <c r="O854" s="5">
        <v>0</v>
      </c>
      <c r="P854" s="5">
        <v>0</v>
      </c>
    </row>
    <row r="855" spans="1:16" x14ac:dyDescent="0.25">
      <c r="A855" t="s">
        <v>667</v>
      </c>
      <c r="B855">
        <v>41.624000000000002</v>
      </c>
      <c r="C855">
        <v>-98.951999999999998</v>
      </c>
      <c r="D855" t="s">
        <v>1953</v>
      </c>
      <c r="E855" s="5">
        <v>1</v>
      </c>
      <c r="F855" s="7">
        <v>0</v>
      </c>
      <c r="G855">
        <f>26.2/2</f>
        <v>13.1</v>
      </c>
      <c r="H855" s="5">
        <f t="shared" si="25"/>
        <v>67.356925000000004</v>
      </c>
      <c r="I855">
        <v>0</v>
      </c>
      <c r="J855">
        <v>0</v>
      </c>
      <c r="K855">
        <f>1.6/H855</f>
        <v>2.3754053499324679E-2</v>
      </c>
      <c r="L855">
        <f>0.7/H855</f>
        <v>1.0392398405954547E-2</v>
      </c>
      <c r="M855">
        <v>0</v>
      </c>
      <c r="N855" s="5">
        <v>0</v>
      </c>
      <c r="O855" s="5">
        <v>0</v>
      </c>
      <c r="P855" s="5">
        <v>0</v>
      </c>
    </row>
    <row r="856" spans="1:16" x14ac:dyDescent="0.25">
      <c r="A856" t="s">
        <v>880</v>
      </c>
      <c r="B856" s="5">
        <v>41.625999999999998</v>
      </c>
      <c r="C856" s="5">
        <v>-80.215000000000003</v>
      </c>
      <c r="D856" s="5" t="s">
        <v>1845</v>
      </c>
      <c r="E856" s="5">
        <v>1</v>
      </c>
      <c r="F856" s="7">
        <v>1</v>
      </c>
      <c r="G856">
        <v>12</v>
      </c>
      <c r="H856" s="5">
        <f t="shared" si="25"/>
        <v>56.519999999999996</v>
      </c>
      <c r="I856">
        <f>4*3.5/2/H856</f>
        <v>0.12384996461429583</v>
      </c>
      <c r="J856">
        <v>0</v>
      </c>
      <c r="K856" s="5">
        <f>3.5*3/H856</f>
        <v>0.18577494692144375</v>
      </c>
      <c r="L856" s="5">
        <f>10*7.5/2/H856</f>
        <v>0.66348195329087056</v>
      </c>
      <c r="M856" s="5">
        <f>6.5*5.5/2/H856</f>
        <v>0.3162597310686483</v>
      </c>
      <c r="N856" s="5">
        <f>5.5*7/2/H856</f>
        <v>0.34058740268931353</v>
      </c>
      <c r="O856" s="5">
        <f>4.5*3/2/H856</f>
        <v>0.1194267515923567</v>
      </c>
      <c r="P856" s="5">
        <f>5*5.5/2/H856</f>
        <v>0.24327671620665253</v>
      </c>
    </row>
    <row r="857" spans="1:16" x14ac:dyDescent="0.25">
      <c r="A857" t="s">
        <v>764</v>
      </c>
      <c r="B857" s="5">
        <v>41.627000000000002</v>
      </c>
      <c r="C857" s="5">
        <v>-73.884</v>
      </c>
      <c r="D857" s="5" t="s">
        <v>1815</v>
      </c>
      <c r="E857" s="5">
        <v>1</v>
      </c>
      <c r="F857" s="7">
        <v>1</v>
      </c>
      <c r="G857">
        <f>19/2</f>
        <v>9.5</v>
      </c>
      <c r="H857" s="5">
        <f t="shared" si="25"/>
        <v>35.423124999999999</v>
      </c>
      <c r="I857">
        <v>0</v>
      </c>
      <c r="J857">
        <f>1/H857</f>
        <v>2.8230146267445348E-2</v>
      </c>
      <c r="K857">
        <f>2/H857</f>
        <v>5.6460292534890696E-2</v>
      </c>
      <c r="L857">
        <f>5*4/2/H857</f>
        <v>0.2823014626744535</v>
      </c>
      <c r="M857">
        <f>(H857-4*4.6/2)/H857</f>
        <v>0.7402826543395028</v>
      </c>
      <c r="N857">
        <f>5*3/2/H857</f>
        <v>0.21172609700584011</v>
      </c>
      <c r="O857">
        <v>0</v>
      </c>
      <c r="P857">
        <v>0</v>
      </c>
    </row>
    <row r="858" spans="1:16" x14ac:dyDescent="0.25">
      <c r="A858" t="s">
        <v>354</v>
      </c>
      <c r="B858" s="5">
        <v>41.633000000000003</v>
      </c>
      <c r="C858" s="5">
        <v>-91.543000000000006</v>
      </c>
      <c r="D858" s="5" t="s">
        <v>1941</v>
      </c>
      <c r="E858" s="5">
        <v>1</v>
      </c>
      <c r="F858" s="7">
        <v>1</v>
      </c>
      <c r="G858">
        <f>21.5/2</f>
        <v>10.75</v>
      </c>
      <c r="H858" s="5">
        <f t="shared" si="25"/>
        <v>45.358281250000005</v>
      </c>
      <c r="I858">
        <v>0</v>
      </c>
      <c r="J858">
        <f>6*4/2/H858</f>
        <v>0.2645602890872325</v>
      </c>
      <c r="K858">
        <f>5*2.5/2/H858</f>
        <v>0.1377918172329336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t="s">
        <v>463</v>
      </c>
      <c r="B859" s="5">
        <v>41.668999999999997</v>
      </c>
      <c r="C859" s="5">
        <v>-70.28</v>
      </c>
      <c r="D859" s="5" t="s">
        <v>1827</v>
      </c>
      <c r="E859" s="5">
        <v>1</v>
      </c>
      <c r="F859" s="7">
        <v>1</v>
      </c>
      <c r="G859" s="5">
        <f>22.5/2</f>
        <v>11.25</v>
      </c>
      <c r="H859" s="5">
        <f t="shared" si="25"/>
        <v>49.675781250000007</v>
      </c>
      <c r="I859" s="5">
        <f>4*7/2/H859</f>
        <v>0.28182747503341982</v>
      </c>
      <c r="J859" s="5">
        <f>6*4/2/H859</f>
        <v>0.24156640717150268</v>
      </c>
      <c r="K859" s="5">
        <f>(H859-4.5*4/2)/H859</f>
        <v>0.81882519462137304</v>
      </c>
      <c r="L859" s="5">
        <f>(H859-4.5*4/2)/H859</f>
        <v>0.81882519462137304</v>
      </c>
      <c r="M859" s="5">
        <f>8.5*7.5/2/H859</f>
        <v>0.64166076904930403</v>
      </c>
      <c r="N859" s="5">
        <f>4/H859</f>
        <v>8.0522135723834223E-2</v>
      </c>
      <c r="O859" s="5">
        <v>0</v>
      </c>
      <c r="P859" s="5">
        <f>5.5*8/2/H859</f>
        <v>0.44287174648108824</v>
      </c>
    </row>
    <row r="860" spans="1:16" x14ac:dyDescent="0.25">
      <c r="A860" t="s">
        <v>461</v>
      </c>
      <c r="B860" s="5">
        <v>41.676000000000002</v>
      </c>
      <c r="C860" s="5">
        <v>-70.957999999999998</v>
      </c>
      <c r="D860" s="5" t="s">
        <v>1825</v>
      </c>
      <c r="E860" s="5">
        <v>1</v>
      </c>
      <c r="F860" s="7">
        <v>1</v>
      </c>
      <c r="G860">
        <v>11</v>
      </c>
      <c r="H860" s="5">
        <f t="shared" si="25"/>
        <v>47.4925</v>
      </c>
      <c r="I860">
        <f>(H860-4.5*5.5/2)/H860</f>
        <v>0.73943254198031272</v>
      </c>
      <c r="J860" s="5">
        <f>5.5/H860</f>
        <v>0.11580775911986103</v>
      </c>
      <c r="K860" s="5">
        <f>1.5*4/2/H860</f>
        <v>6.3167868610833289E-2</v>
      </c>
      <c r="L860" s="5">
        <f>3.5*3/2/H860</f>
        <v>0.11054377006895826</v>
      </c>
      <c r="M860" s="5">
        <v>0</v>
      </c>
      <c r="N860" s="5">
        <f>2/H860</f>
        <v>4.2111912407222195E-2</v>
      </c>
      <c r="O860" s="5">
        <f>3/H860</f>
        <v>6.3167868610833289E-2</v>
      </c>
      <c r="P860" s="5">
        <f>5*9.5/2/H860</f>
        <v>0.50007895983576356</v>
      </c>
    </row>
    <row r="861" spans="1:16" x14ac:dyDescent="0.25">
      <c r="A861" t="s">
        <v>815</v>
      </c>
      <c r="B861" s="5">
        <v>41.683</v>
      </c>
      <c r="C861" s="5">
        <v>-81.382999999999996</v>
      </c>
      <c r="D861" s="5" t="s">
        <v>1888</v>
      </c>
      <c r="E861">
        <v>1</v>
      </c>
      <c r="F861" s="7">
        <v>0</v>
      </c>
      <c r="G861">
        <f>23.2/2</f>
        <v>11.6</v>
      </c>
      <c r="H861" s="5">
        <f t="shared" si="25"/>
        <v>52.814799999999998</v>
      </c>
      <c r="I861">
        <v>0</v>
      </c>
      <c r="J861" s="5">
        <f>2.5*4.5/2/H861</f>
        <v>0.10650423744859396</v>
      </c>
      <c r="K861" s="5">
        <f>2.5*1.4/H861</f>
        <v>6.6269303301347351E-2</v>
      </c>
      <c r="L861" s="5">
        <f>7*3/2/H861</f>
        <v>0.19880790990404207</v>
      </c>
      <c r="M861" s="5">
        <f>8.5*3.7/2/H861</f>
        <v>0.29773851268962492</v>
      </c>
      <c r="N861" s="5">
        <f>1.2/H861</f>
        <v>2.2720903989033377E-2</v>
      </c>
      <c r="O861" s="5">
        <v>0</v>
      </c>
      <c r="P861" s="5">
        <f>4/H861</f>
        <v>7.5736346630111265E-2</v>
      </c>
    </row>
    <row r="862" spans="1:16" x14ac:dyDescent="0.25">
      <c r="A862" t="s">
        <v>465</v>
      </c>
      <c r="B862" s="5">
        <v>41.688000000000002</v>
      </c>
      <c r="C862" s="5">
        <v>-69.992999999999995</v>
      </c>
      <c r="D862" s="5" t="s">
        <v>1829</v>
      </c>
      <c r="E862">
        <v>1</v>
      </c>
      <c r="F862" s="7">
        <v>1</v>
      </c>
      <c r="G862">
        <f>20.5/2</f>
        <v>10.25</v>
      </c>
      <c r="H862" s="5">
        <f t="shared" si="25"/>
        <v>41.237031250000001</v>
      </c>
      <c r="I862">
        <f>(H862-2.5)/H862</f>
        <v>0.93937487922339225</v>
      </c>
      <c r="J862">
        <f>3*8/2/H862</f>
        <v>0.29100057972771742</v>
      </c>
      <c r="K862">
        <f>5*7/2/H862</f>
        <v>0.42437584543625456</v>
      </c>
      <c r="L862">
        <f>(H862-4*5/2)/H862</f>
        <v>0.75749951689356887</v>
      </c>
      <c r="M862">
        <f>(H862-4.5*5/2)/H862</f>
        <v>0.72718695650526488</v>
      </c>
      <c r="N862">
        <f>2/H862</f>
        <v>4.8500096621286237E-2</v>
      </c>
      <c r="O862" s="5">
        <f>(H862-2.5*2.5/2)/H862</f>
        <v>0.92421859902924031</v>
      </c>
      <c r="P862" s="5">
        <f>(H862-2.5)/H862</f>
        <v>0.93937487922339225</v>
      </c>
    </row>
    <row r="863" spans="1:16" x14ac:dyDescent="0.25">
      <c r="A863" t="s">
        <v>767</v>
      </c>
      <c r="B863" s="5">
        <v>41.701000000000001</v>
      </c>
      <c r="C863" s="5">
        <v>-74.784000000000006</v>
      </c>
      <c r="D863" s="5" t="s">
        <v>1861</v>
      </c>
      <c r="E863">
        <v>1</v>
      </c>
      <c r="F863" s="7">
        <v>0</v>
      </c>
      <c r="G863">
        <f>20.4/2</f>
        <v>10.199999999999999</v>
      </c>
      <c r="H863" s="5">
        <f t="shared" si="25"/>
        <v>40.835699999999996</v>
      </c>
      <c r="I863">
        <f>2.5*3.5/2/H863</f>
        <v>0.10713664759022132</v>
      </c>
      <c r="J863">
        <f>(H863-5.5*3.5/2)/H863</f>
        <v>0.76429937530151315</v>
      </c>
      <c r="K863" s="5">
        <f>6*4/2/H863</f>
        <v>0.29386051910460703</v>
      </c>
      <c r="L863" s="5">
        <v>0</v>
      </c>
      <c r="M863" s="5">
        <f>2/H863</f>
        <v>4.897675318410117E-2</v>
      </c>
      <c r="N863" s="5">
        <f>4*3.5/2/H863</f>
        <v>0.1714186361443541</v>
      </c>
      <c r="O863" s="5">
        <f>3*2/H863</f>
        <v>0.14693025955230352</v>
      </c>
      <c r="P863" s="5">
        <v>0</v>
      </c>
    </row>
    <row r="864" spans="1:16" x14ac:dyDescent="0.25">
      <c r="A864" t="s">
        <v>420</v>
      </c>
      <c r="B864">
        <v>41.707000000000001</v>
      </c>
      <c r="C864">
        <v>-86.332999999999998</v>
      </c>
      <c r="D864" t="s">
        <v>1917</v>
      </c>
      <c r="E864">
        <v>1</v>
      </c>
      <c r="F864" s="7">
        <v>1</v>
      </c>
      <c r="G864">
        <f>24.2/2</f>
        <v>12.1</v>
      </c>
      <c r="H864" s="5">
        <f t="shared" si="25"/>
        <v>57.465924999999999</v>
      </c>
      <c r="I864">
        <f>0.6/H864</f>
        <v>1.0440970018319552E-2</v>
      </c>
      <c r="J864">
        <f>2*2.3/H864</f>
        <v>8.0047436807116568E-2</v>
      </c>
      <c r="K864">
        <f>2.5/H864</f>
        <v>4.3504041742998135E-2</v>
      </c>
      <c r="L864">
        <v>0</v>
      </c>
      <c r="M864">
        <v>0</v>
      </c>
      <c r="N864" s="5">
        <v>0</v>
      </c>
      <c r="O864" s="5">
        <v>0</v>
      </c>
      <c r="P864" s="5">
        <v>0</v>
      </c>
    </row>
    <row r="865" spans="1:16" x14ac:dyDescent="0.25">
      <c r="A865" t="s">
        <v>421</v>
      </c>
      <c r="B865">
        <v>41.719000000000001</v>
      </c>
      <c r="C865">
        <v>-86.001999999999995</v>
      </c>
      <c r="D865" t="s">
        <v>1918</v>
      </c>
      <c r="E865">
        <v>1</v>
      </c>
      <c r="F865" s="7">
        <v>1</v>
      </c>
      <c r="G865">
        <f>22.5/2</f>
        <v>11.25</v>
      </c>
      <c r="H865" s="5">
        <f t="shared" si="25"/>
        <v>49.675781250000007</v>
      </c>
      <c r="I865">
        <f>5.5*10/2/H865</f>
        <v>0.55358968310136025</v>
      </c>
      <c r="J865">
        <f>(H865-1.5*2/2)/H865</f>
        <v>0.96980419910356219</v>
      </c>
      <c r="K865">
        <f>7.5*9/2/H865</f>
        <v>0.67940552016985123</v>
      </c>
      <c r="L865">
        <f>8*11/2/H865</f>
        <v>0.88574349296217647</v>
      </c>
      <c r="M865">
        <f>4.5*5.5/H865</f>
        <v>0.49823071479122427</v>
      </c>
      <c r="N865">
        <v>0</v>
      </c>
      <c r="O865" s="5">
        <v>0</v>
      </c>
      <c r="P865" s="5">
        <v>0</v>
      </c>
    </row>
    <row r="866" spans="1:16" x14ac:dyDescent="0.25">
      <c r="A866" t="s">
        <v>906</v>
      </c>
      <c r="B866" s="5">
        <v>41.722000000000001</v>
      </c>
      <c r="C866" s="5">
        <v>-71.433000000000007</v>
      </c>
      <c r="D866" s="5" t="s">
        <v>1830</v>
      </c>
      <c r="E866" s="5">
        <v>1</v>
      </c>
      <c r="F866" s="7">
        <v>1</v>
      </c>
      <c r="G866">
        <f>23.5/2</f>
        <v>11.75</v>
      </c>
      <c r="H866" s="5">
        <f t="shared" si="25"/>
        <v>54.189531250000002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f>1.5/H866</f>
        <v>2.7680623275367418E-2</v>
      </c>
      <c r="P866">
        <f>8/H866</f>
        <v>0.14762999080195954</v>
      </c>
    </row>
    <row r="867" spans="1:16" x14ac:dyDescent="0.25">
      <c r="A867" t="s">
        <v>238</v>
      </c>
      <c r="B867" s="5">
        <v>41.735999999999997</v>
      </c>
      <c r="C867" s="5">
        <v>-72.650999999999996</v>
      </c>
      <c r="D867" s="5" t="s">
        <v>1838</v>
      </c>
      <c r="E867" s="5">
        <v>1</v>
      </c>
      <c r="F867" s="7">
        <v>1</v>
      </c>
      <c r="G867">
        <f>23/2</f>
        <v>11.5</v>
      </c>
      <c r="H867" s="5">
        <f t="shared" si="25"/>
        <v>51.908124999999998</v>
      </c>
      <c r="I867">
        <f>2.5*1.5/H867</f>
        <v>7.2243025537909525E-2</v>
      </c>
      <c r="J867">
        <v>0</v>
      </c>
      <c r="K867">
        <f>1.5*6/2/H867</f>
        <v>8.669163064549143E-2</v>
      </c>
      <c r="L867">
        <f>7/H867</f>
        <v>0.13485364767076446</v>
      </c>
      <c r="M867">
        <f>2/H867</f>
        <v>3.8529613620218416E-2</v>
      </c>
      <c r="N867">
        <f>0.5/H867</f>
        <v>9.6324034050546039E-3</v>
      </c>
      <c r="O867">
        <f>3*3/H867</f>
        <v>0.17338326129098286</v>
      </c>
      <c r="P867">
        <f>2.5*5/H867</f>
        <v>0.24081008512636509</v>
      </c>
    </row>
    <row r="868" spans="1:16" x14ac:dyDescent="0.25">
      <c r="A868" t="s">
        <v>236</v>
      </c>
      <c r="B868" s="5">
        <v>41.741999999999997</v>
      </c>
      <c r="C868" s="5">
        <v>-72.183999999999997</v>
      </c>
      <c r="D868" s="5" t="s">
        <v>1835</v>
      </c>
      <c r="E868" s="5">
        <v>1</v>
      </c>
      <c r="F868" s="7">
        <v>1</v>
      </c>
      <c r="G868">
        <f>26.5/2</f>
        <v>13.25</v>
      </c>
      <c r="H868" s="5">
        <f t="shared" si="25"/>
        <v>68.908281250000002</v>
      </c>
      <c r="I868">
        <v>0</v>
      </c>
      <c r="J868">
        <v>0</v>
      </c>
      <c r="K868">
        <f>10.5*6/2/H868</f>
        <v>0.4571293816735561</v>
      </c>
      <c r="L868">
        <f>6*5/2/H868</f>
        <v>0.21768065793978861</v>
      </c>
      <c r="M868">
        <f>5/H868</f>
        <v>7.2560219313262869E-2</v>
      </c>
      <c r="N868">
        <f>3*6.5/H868</f>
        <v>0.28298485532172518</v>
      </c>
      <c r="O868">
        <f>(H868-6*6/2)/H868</f>
        <v>0.7387832104722537</v>
      </c>
      <c r="P868">
        <f>5.5*4.8/2/H868</f>
        <v>0.19155897898701396</v>
      </c>
    </row>
    <row r="869" spans="1:16" x14ac:dyDescent="0.25">
      <c r="A869" t="s">
        <v>670</v>
      </c>
      <c r="B869" s="5">
        <v>41.764000000000003</v>
      </c>
      <c r="C869" s="5">
        <v>-96.177999999999997</v>
      </c>
      <c r="D869" s="5" t="s">
        <v>1956</v>
      </c>
      <c r="E869" s="5">
        <v>1</v>
      </c>
      <c r="F869" s="7">
        <v>1</v>
      </c>
      <c r="G869">
        <f>19.5/2</f>
        <v>9.75</v>
      </c>
      <c r="H869" s="5">
        <f t="shared" si="25"/>
        <v>37.312031250000004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t="s">
        <v>403</v>
      </c>
      <c r="B870" s="5">
        <v>41.77</v>
      </c>
      <c r="C870" s="5">
        <v>-88.480999999999995</v>
      </c>
      <c r="D870" s="5" t="s">
        <v>2232</v>
      </c>
      <c r="E870" s="5">
        <v>1</v>
      </c>
      <c r="F870" s="7">
        <v>1</v>
      </c>
      <c r="G870">
        <v>12.5</v>
      </c>
      <c r="H870" s="5">
        <f t="shared" si="25"/>
        <v>61.328125</v>
      </c>
      <c r="I870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</row>
    <row r="871" spans="1:16" x14ac:dyDescent="0.25">
      <c r="A871" t="s">
        <v>821</v>
      </c>
      <c r="B871">
        <v>41.777999999999999</v>
      </c>
      <c r="C871">
        <v>-80.695999999999998</v>
      </c>
      <c r="D871" t="s">
        <v>1894</v>
      </c>
      <c r="E871" s="5">
        <v>1</v>
      </c>
      <c r="F871" s="7">
        <v>1</v>
      </c>
      <c r="G871">
        <f>22.5/2</f>
        <v>11.25</v>
      </c>
      <c r="H871" s="5">
        <f t="shared" si="25"/>
        <v>49.675781250000007</v>
      </c>
      <c r="I871">
        <f>8.5*9.5/2/H871</f>
        <v>0.81277030746245171</v>
      </c>
      <c r="J871">
        <f>7.5*9.5/2/H871</f>
        <v>0.71715027129039854</v>
      </c>
      <c r="K871">
        <f>5*2.5/H871</f>
        <v>0.25163167413698195</v>
      </c>
      <c r="L871">
        <f>3*5.5/2/H871</f>
        <v>0.16607690493040808</v>
      </c>
      <c r="M871">
        <v>0</v>
      </c>
      <c r="N871">
        <v>0</v>
      </c>
      <c r="O871">
        <f>3/H871</f>
        <v>6.0391601792875671E-2</v>
      </c>
      <c r="P871">
        <f>8*5/2/H871</f>
        <v>0.4026106786191711</v>
      </c>
    </row>
    <row r="872" spans="1:16" x14ac:dyDescent="0.25">
      <c r="A872" t="s">
        <v>179</v>
      </c>
      <c r="B872">
        <v>41.78</v>
      </c>
      <c r="C872">
        <v>-124.23699999999999</v>
      </c>
      <c r="D872" t="s">
        <v>2009</v>
      </c>
      <c r="E872" s="5">
        <v>1</v>
      </c>
      <c r="F872" s="7">
        <v>1</v>
      </c>
      <c r="G872">
        <v>10</v>
      </c>
      <c r="H872" s="5">
        <f t="shared" si="25"/>
        <v>39.25</v>
      </c>
      <c r="I872">
        <v>0</v>
      </c>
      <c r="J872">
        <f>2.5*4.5/2/H872</f>
        <v>0.14331210191082802</v>
      </c>
      <c r="K872">
        <f>(H872-6*7.5/2)/H872</f>
        <v>0.42675159235668791</v>
      </c>
      <c r="L872">
        <f>2/H872</f>
        <v>5.0955414012738856E-2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t="s">
        <v>180</v>
      </c>
      <c r="B873" s="5">
        <v>41.780999999999999</v>
      </c>
      <c r="C873" s="5">
        <v>-122.468</v>
      </c>
      <c r="D873" s="5" t="s">
        <v>2010</v>
      </c>
      <c r="E873" s="5">
        <v>1</v>
      </c>
      <c r="F873" s="7">
        <v>1</v>
      </c>
      <c r="G873">
        <v>10.5</v>
      </c>
      <c r="H873" s="5">
        <f t="shared" si="25"/>
        <v>43.273125</v>
      </c>
      <c r="I873">
        <v>0</v>
      </c>
      <c r="J873">
        <f>0.8/H873</f>
        <v>1.8487225038635414E-2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t="s">
        <v>397</v>
      </c>
      <c r="B874" s="5">
        <v>41.786000000000001</v>
      </c>
      <c r="C874" s="5">
        <v>-87.751999999999995</v>
      </c>
      <c r="D874" s="5" t="s">
        <v>1912</v>
      </c>
      <c r="E874" s="5">
        <v>1</v>
      </c>
      <c r="F874" s="7">
        <v>1</v>
      </c>
      <c r="G874">
        <f>25.5/2</f>
        <v>12.75</v>
      </c>
      <c r="H874" s="5">
        <f t="shared" si="25"/>
        <v>63.805781250000003</v>
      </c>
      <c r="I874">
        <v>0</v>
      </c>
      <c r="J874">
        <v>0</v>
      </c>
      <c r="K874">
        <v>0</v>
      </c>
      <c r="L874">
        <v>0</v>
      </c>
      <c r="M874">
        <v>0</v>
      </c>
      <c r="N874">
        <f>4/H874</f>
        <v>6.2690244075649493E-2</v>
      </c>
      <c r="O874">
        <v>0</v>
      </c>
      <c r="P874">
        <v>0</v>
      </c>
    </row>
    <row r="875" spans="1:16" x14ac:dyDescent="0.25">
      <c r="A875" t="s">
        <v>1056</v>
      </c>
      <c r="B875">
        <v>41.786999999999999</v>
      </c>
      <c r="C875">
        <v>-111.85299999999999</v>
      </c>
      <c r="D875" t="s">
        <v>1774</v>
      </c>
      <c r="E875" s="5">
        <v>1</v>
      </c>
      <c r="F875" s="7">
        <v>1</v>
      </c>
      <c r="G875">
        <f>19.5/2</f>
        <v>9.75</v>
      </c>
      <c r="H875" s="5">
        <f t="shared" ref="H875:H906" si="27">3.14*G875*G875/8</f>
        <v>37.312031250000004</v>
      </c>
      <c r="I875">
        <v>0</v>
      </c>
      <c r="J875" s="5">
        <v>0</v>
      </c>
      <c r="K875" s="5">
        <v>0</v>
      </c>
      <c r="L875" s="5">
        <v>0</v>
      </c>
      <c r="M875" s="5">
        <f>1/H875</f>
        <v>2.6801006712814646E-2</v>
      </c>
      <c r="N875" s="5">
        <f>4/H875</f>
        <v>0.10720402685125859</v>
      </c>
      <c r="O875" s="5">
        <v>0</v>
      </c>
      <c r="P875">
        <v>0</v>
      </c>
    </row>
    <row r="876" spans="1:16" x14ac:dyDescent="0.25">
      <c r="A876" t="s">
        <v>1181</v>
      </c>
      <c r="B876" s="1">
        <v>41.8</v>
      </c>
      <c r="C876" s="1">
        <v>-107.2</v>
      </c>
      <c r="D876" s="1" t="s">
        <v>2310</v>
      </c>
      <c r="E876" s="5">
        <v>1</v>
      </c>
      <c r="F876" s="7">
        <v>1</v>
      </c>
      <c r="G876" s="5">
        <f>20.5/2</f>
        <v>10.25</v>
      </c>
      <c r="H876" s="5">
        <f t="shared" si="27"/>
        <v>41.237031250000001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</row>
    <row r="877" spans="1:16" x14ac:dyDescent="0.25">
      <c r="A877" t="s">
        <v>903</v>
      </c>
      <c r="B877" s="5">
        <v>41.802999999999997</v>
      </c>
      <c r="C877" s="5">
        <v>-78.64</v>
      </c>
      <c r="D877" s="5" t="s">
        <v>1896</v>
      </c>
      <c r="E877" s="5">
        <v>1</v>
      </c>
      <c r="F877" s="7">
        <v>1</v>
      </c>
      <c r="G877">
        <f>22.5/2</f>
        <v>11.25</v>
      </c>
      <c r="H877" s="5">
        <f t="shared" si="27"/>
        <v>49.675781250000007</v>
      </c>
      <c r="I877">
        <f>5.5*3/2/H877</f>
        <v>0.16607690493040808</v>
      </c>
      <c r="J877">
        <f>7.5*3/2/H877</f>
        <v>0.22646850672328375</v>
      </c>
      <c r="K877">
        <v>0</v>
      </c>
      <c r="L877" s="5">
        <f>5.5*3/2/H877</f>
        <v>0.16607690493040808</v>
      </c>
      <c r="M877" s="5">
        <f>(H877-6*7.5/2)/H877</f>
        <v>0.54706298655343244</v>
      </c>
      <c r="N877" s="5">
        <f>(H877-4*5.5/2)/H877</f>
        <v>0.77856412675945585</v>
      </c>
      <c r="O877" s="5">
        <f>(H877-6*6/2)/H877</f>
        <v>0.63765038924274597</v>
      </c>
      <c r="P877">
        <v>0</v>
      </c>
    </row>
    <row r="878" spans="1:16" x14ac:dyDescent="0.25">
      <c r="A878" t="s">
        <v>1171</v>
      </c>
      <c r="B878" s="1">
        <v>41.805999999999997</v>
      </c>
      <c r="C878" s="1">
        <v>-107.2</v>
      </c>
      <c r="D878" s="1" t="s">
        <v>1981</v>
      </c>
      <c r="E878" s="5">
        <v>1</v>
      </c>
      <c r="F878" s="7">
        <v>1</v>
      </c>
      <c r="G878">
        <f>20.5/2</f>
        <v>10.25</v>
      </c>
      <c r="H878" s="5">
        <f t="shared" si="27"/>
        <v>41.237031250000001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t="s">
        <v>522</v>
      </c>
      <c r="B879" s="5">
        <v>41.868000000000002</v>
      </c>
      <c r="C879" s="5">
        <v>-84.078999999999994</v>
      </c>
      <c r="D879" s="5" t="s">
        <v>1932</v>
      </c>
      <c r="E879" s="5">
        <v>1</v>
      </c>
      <c r="F879" s="7">
        <v>1</v>
      </c>
      <c r="G879">
        <v>12</v>
      </c>
      <c r="H879" s="5">
        <f t="shared" si="27"/>
        <v>56.519999999999996</v>
      </c>
      <c r="I879">
        <f>0.5/H879</f>
        <v>8.8464260438782735E-3</v>
      </c>
      <c r="J879">
        <v>0</v>
      </c>
      <c r="K879">
        <v>0</v>
      </c>
      <c r="L879">
        <f>0.5/H879</f>
        <v>8.8464260438782735E-3</v>
      </c>
      <c r="M879">
        <f>0.5/H879</f>
        <v>8.8464260438782735E-3</v>
      </c>
      <c r="N879">
        <f>2.4*1.3/H879</f>
        <v>5.5201698513800433E-2</v>
      </c>
      <c r="O879">
        <f>3.5*5/H879</f>
        <v>0.30962491153573957</v>
      </c>
      <c r="P879">
        <f>4*3/H879</f>
        <v>0.21231422505307856</v>
      </c>
    </row>
    <row r="880" spans="1:16" x14ac:dyDescent="0.25">
      <c r="A880" t="s">
        <v>684</v>
      </c>
      <c r="B880" s="5">
        <v>41.874000000000002</v>
      </c>
      <c r="C880" s="5">
        <v>-103.595</v>
      </c>
      <c r="D880" s="5" t="s">
        <v>1973</v>
      </c>
      <c r="E880" s="5">
        <v>1</v>
      </c>
      <c r="F880" s="7">
        <v>1</v>
      </c>
      <c r="G880">
        <v>10</v>
      </c>
      <c r="H880" s="5">
        <f t="shared" si="27"/>
        <v>39.25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x14ac:dyDescent="0.25">
      <c r="A881" t="s">
        <v>464</v>
      </c>
      <c r="B881" s="5">
        <v>41.875999999999998</v>
      </c>
      <c r="C881" s="5">
        <v>-71.021000000000001</v>
      </c>
      <c r="D881" s="5" t="s">
        <v>1828</v>
      </c>
      <c r="E881" s="5">
        <v>1</v>
      </c>
      <c r="F881" s="7">
        <v>1</v>
      </c>
      <c r="G881">
        <f>22.5/2</f>
        <v>11.25</v>
      </c>
      <c r="H881" s="5">
        <f t="shared" si="27"/>
        <v>49.675781250000007</v>
      </c>
      <c r="I881">
        <f>3.5/H881</f>
        <v>7.0456868758354954E-2</v>
      </c>
      <c r="J881">
        <f>5/H881</f>
        <v>0.10065266965479278</v>
      </c>
      <c r="K881">
        <f>4/H881</f>
        <v>8.0522135723834223E-2</v>
      </c>
      <c r="L881">
        <f>4*2.3/2/H881</f>
        <v>9.2600456082409355E-2</v>
      </c>
      <c r="M881">
        <f>7*3/2/H881</f>
        <v>0.21137060627506485</v>
      </c>
      <c r="N881">
        <f>3*4.5/2/H881</f>
        <v>0.13588110403397025</v>
      </c>
      <c r="O881">
        <f>0.8/H881</f>
        <v>1.6104427144766845E-2</v>
      </c>
      <c r="P881">
        <f>3.8/H881</f>
        <v>7.6496028937642513E-2</v>
      </c>
    </row>
    <row r="882" spans="1:16" x14ac:dyDescent="0.25">
      <c r="A882" t="s">
        <v>350</v>
      </c>
      <c r="B882">
        <v>41.884</v>
      </c>
      <c r="C882">
        <v>-91.709000000000003</v>
      </c>
      <c r="D882" t="s">
        <v>1937</v>
      </c>
      <c r="E882" s="5">
        <v>1</v>
      </c>
      <c r="F882" s="7">
        <v>1</v>
      </c>
      <c r="G882">
        <v>10</v>
      </c>
      <c r="H882" s="5">
        <f t="shared" si="27"/>
        <v>39.25</v>
      </c>
      <c r="I882">
        <v>0</v>
      </c>
      <c r="J882">
        <v>0</v>
      </c>
      <c r="K882">
        <f>1/H882</f>
        <v>2.5477707006369428E-2</v>
      </c>
      <c r="L882">
        <f>4/H882</f>
        <v>0.10191082802547771</v>
      </c>
      <c r="M882">
        <f>1.5*4.5/H882</f>
        <v>0.17197452229299362</v>
      </c>
      <c r="N882">
        <f>0.5/H882</f>
        <v>1.2738853503184714E-2</v>
      </c>
      <c r="O882">
        <v>0</v>
      </c>
      <c r="P882">
        <v>0</v>
      </c>
    </row>
    <row r="883" spans="1:16" x14ac:dyDescent="0.25">
      <c r="A883" t="s">
        <v>460</v>
      </c>
      <c r="B883">
        <v>41.91</v>
      </c>
      <c r="C883">
        <v>-70.728999999999999</v>
      </c>
      <c r="D883" t="s">
        <v>1824</v>
      </c>
      <c r="E883" s="5">
        <v>1</v>
      </c>
      <c r="F883" s="7">
        <v>1</v>
      </c>
      <c r="G883">
        <f>24.7/2</f>
        <v>12.35</v>
      </c>
      <c r="H883" s="5">
        <f t="shared" si="27"/>
        <v>59.865081250000003</v>
      </c>
      <c r="I883">
        <v>0</v>
      </c>
      <c r="J883" s="5">
        <f>4.5/H883</f>
        <v>7.5169028522783468E-2</v>
      </c>
      <c r="K883" s="5">
        <f>1/H883</f>
        <v>1.670422856061855E-2</v>
      </c>
      <c r="L883" s="5">
        <f>7*3.5/H883</f>
        <v>0.40925359973515446</v>
      </c>
      <c r="M883" s="5">
        <f>10.5*10/2/H883</f>
        <v>0.87697199943247384</v>
      </c>
      <c r="N883" s="5">
        <f>4.5/H883</f>
        <v>7.5169028522783468E-2</v>
      </c>
      <c r="O883" s="5">
        <f>1/H883</f>
        <v>1.670422856061855E-2</v>
      </c>
      <c r="P883" s="5">
        <f>1.5/H883</f>
        <v>2.5056342840927823E-2</v>
      </c>
    </row>
    <row r="884" spans="1:16" x14ac:dyDescent="0.25">
      <c r="A884" t="s">
        <v>390</v>
      </c>
      <c r="B884">
        <v>41.914000000000001</v>
      </c>
      <c r="C884">
        <v>-88.245999999999995</v>
      </c>
      <c r="D884" t="s">
        <v>1901</v>
      </c>
      <c r="E884" s="5">
        <v>1</v>
      </c>
      <c r="F884" s="7">
        <v>1</v>
      </c>
      <c r="G884">
        <f>24.5/2</f>
        <v>12.25</v>
      </c>
      <c r="H884" s="5">
        <f t="shared" si="27"/>
        <v>58.899531250000003</v>
      </c>
      <c r="I884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</row>
    <row r="885" spans="1:16" x14ac:dyDescent="0.25">
      <c r="A885" t="s">
        <v>380</v>
      </c>
      <c r="B885">
        <v>41.932000000000002</v>
      </c>
      <c r="C885">
        <v>-88.700999999999993</v>
      </c>
      <c r="D885" t="s">
        <v>1256</v>
      </c>
      <c r="E885" s="5">
        <v>1</v>
      </c>
      <c r="F885" s="7">
        <v>0</v>
      </c>
      <c r="G885">
        <v>12</v>
      </c>
      <c r="H885" s="5">
        <f t="shared" si="27"/>
        <v>56.519999999999996</v>
      </c>
      <c r="I885">
        <f>3*3.5/2/H885</f>
        <v>9.2887473460721875E-2</v>
      </c>
      <c r="J885">
        <f>4/H885</f>
        <v>7.0771408351026188E-2</v>
      </c>
      <c r="K885">
        <v>0</v>
      </c>
      <c r="L885" s="5">
        <v>0</v>
      </c>
      <c r="M885" s="5">
        <v>0</v>
      </c>
      <c r="N885" s="5">
        <v>0</v>
      </c>
      <c r="O885" s="5">
        <v>0</v>
      </c>
      <c r="P885">
        <f>6.5*5/2/H885</f>
        <v>0.28750884642604391</v>
      </c>
    </row>
    <row r="886" spans="1:16" x14ac:dyDescent="0.25">
      <c r="A886" t="s">
        <v>235</v>
      </c>
      <c r="B886" s="5">
        <v>41.938000000000002</v>
      </c>
      <c r="C886" s="5">
        <v>-72.683000000000007</v>
      </c>
      <c r="D886" s="5" t="s">
        <v>1834</v>
      </c>
      <c r="E886" s="5">
        <v>1</v>
      </c>
      <c r="F886" s="7">
        <v>1</v>
      </c>
      <c r="G886">
        <f>22.5/2</f>
        <v>11.25</v>
      </c>
      <c r="H886" s="5">
        <f t="shared" si="27"/>
        <v>49.675781250000007</v>
      </c>
      <c r="I886">
        <f>0.4/H886</f>
        <v>8.0522135723834227E-3</v>
      </c>
      <c r="J886">
        <v>0</v>
      </c>
      <c r="K886" s="5">
        <f>2.5/H886</f>
        <v>5.0326334827396388E-2</v>
      </c>
      <c r="L886" s="5">
        <v>0</v>
      </c>
      <c r="M886" s="5">
        <v>0</v>
      </c>
      <c r="N886" s="5">
        <v>0</v>
      </c>
      <c r="O886" s="5">
        <v>0</v>
      </c>
      <c r="P886" s="5">
        <f>0.4/H886</f>
        <v>8.0522135723834227E-3</v>
      </c>
    </row>
    <row r="887" spans="1:16" x14ac:dyDescent="0.25">
      <c r="A887" t="s">
        <v>676</v>
      </c>
      <c r="B887">
        <v>41.981000000000002</v>
      </c>
      <c r="C887">
        <v>-97.436999999999998</v>
      </c>
      <c r="D887" t="s">
        <v>1962</v>
      </c>
      <c r="E887" s="5">
        <v>1</v>
      </c>
      <c r="F887" s="7">
        <v>1</v>
      </c>
      <c r="G887">
        <f>25.5/2</f>
        <v>12.75</v>
      </c>
      <c r="H887" s="5">
        <f t="shared" si="27"/>
        <v>63.805781250000003</v>
      </c>
      <c r="I887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</row>
    <row r="888" spans="1:16" x14ac:dyDescent="0.25">
      <c r="A888" t="s">
        <v>389</v>
      </c>
      <c r="B888">
        <v>41.985999999999997</v>
      </c>
      <c r="C888">
        <v>-87.914000000000001</v>
      </c>
      <c r="D888" t="s">
        <v>1900</v>
      </c>
      <c r="E888" s="5">
        <v>1</v>
      </c>
      <c r="F888" s="7">
        <v>1</v>
      </c>
      <c r="G888">
        <f>23/2</f>
        <v>11.5</v>
      </c>
      <c r="H888" s="5">
        <f t="shared" si="27"/>
        <v>51.908124999999998</v>
      </c>
      <c r="I888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f>1/H888</f>
        <v>1.9264806810109208E-2</v>
      </c>
    </row>
    <row r="889" spans="1:16" x14ac:dyDescent="0.25">
      <c r="A889" t="s">
        <v>357</v>
      </c>
      <c r="B889">
        <v>41.991999999999997</v>
      </c>
      <c r="C889">
        <v>-93.622</v>
      </c>
      <c r="D889" t="s">
        <v>1944</v>
      </c>
      <c r="E889" s="5">
        <v>1</v>
      </c>
      <c r="F889" s="7">
        <v>1</v>
      </c>
      <c r="G889">
        <v>11</v>
      </c>
      <c r="H889" s="5">
        <f t="shared" si="27"/>
        <v>47.4925</v>
      </c>
      <c r="I889">
        <v>0</v>
      </c>
      <c r="J889">
        <f>2/H889</f>
        <v>4.2111912407222195E-2</v>
      </c>
      <c r="K889">
        <f>1.3/H889</f>
        <v>2.7372743064694425E-2</v>
      </c>
      <c r="L889" s="5">
        <f>1/H889</f>
        <v>2.1055956203611097E-2</v>
      </c>
      <c r="M889" s="5">
        <f>1.2/H889</f>
        <v>2.5267147444333313E-2</v>
      </c>
      <c r="N889" s="5">
        <v>0</v>
      </c>
      <c r="O889" s="5">
        <v>0</v>
      </c>
      <c r="P889" s="5">
        <f>0.3/H889</f>
        <v>6.3167868610833284E-3</v>
      </c>
    </row>
    <row r="890" spans="1:16" x14ac:dyDescent="0.25">
      <c r="A890" t="s">
        <v>682</v>
      </c>
      <c r="B890" s="5">
        <v>42.057000000000002</v>
      </c>
      <c r="C890" s="5">
        <v>-102.8</v>
      </c>
      <c r="D890" s="5" t="s">
        <v>1968</v>
      </c>
      <c r="E890" s="5">
        <v>1</v>
      </c>
      <c r="F890" s="7">
        <v>1</v>
      </c>
      <c r="G890">
        <v>13</v>
      </c>
      <c r="H890" s="5">
        <f t="shared" si="27"/>
        <v>66.332499999999996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 s="5">
        <v>0</v>
      </c>
    </row>
    <row r="891" spans="1:16" x14ac:dyDescent="0.25">
      <c r="A891" t="s">
        <v>1173</v>
      </c>
      <c r="B891">
        <v>42.064999999999998</v>
      </c>
      <c r="C891">
        <v>-104.15300000000001</v>
      </c>
      <c r="D891" t="s">
        <v>1985</v>
      </c>
      <c r="E891" s="5">
        <v>1</v>
      </c>
      <c r="F891" s="7">
        <v>0</v>
      </c>
      <c r="G891">
        <v>11.5</v>
      </c>
      <c r="H891" s="5">
        <f t="shared" si="27"/>
        <v>51.908124999999998</v>
      </c>
      <c r="I891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</row>
    <row r="892" spans="1:16" x14ac:dyDescent="0.25">
      <c r="A892" t="s">
        <v>848</v>
      </c>
      <c r="B892">
        <v>42.073999999999998</v>
      </c>
      <c r="C892">
        <v>-124.29</v>
      </c>
      <c r="D892" t="s">
        <v>1215</v>
      </c>
      <c r="E892">
        <v>1</v>
      </c>
      <c r="F892" s="7">
        <v>0</v>
      </c>
      <c r="G892">
        <f>25.5/2</f>
        <v>12.75</v>
      </c>
      <c r="H892" s="5">
        <f t="shared" si="27"/>
        <v>63.805781250000003</v>
      </c>
      <c r="I892">
        <f>9.5*5/2/H892</f>
        <v>0.37222332419916887</v>
      </c>
      <c r="J892">
        <f>(H892-8*3.5/2)/H892</f>
        <v>0.78058414573522683</v>
      </c>
      <c r="K892">
        <f>(H892-5.5*2.7/2)/H892</f>
        <v>0.88363123443457559</v>
      </c>
      <c r="L892">
        <f>10.5*6/2/H892</f>
        <v>0.49368567209573971</v>
      </c>
      <c r="M892">
        <f>10*9/2/H892</f>
        <v>0.70526524585105677</v>
      </c>
      <c r="N892" s="5">
        <f>6*11/2/H892</f>
        <v>0.51719451362410829</v>
      </c>
      <c r="O892" s="5">
        <f>8*9/2/H892</f>
        <v>0.56421219668084543</v>
      </c>
      <c r="P892" s="5">
        <f>8.5*6/2/H892</f>
        <v>0.39965030598226547</v>
      </c>
    </row>
    <row r="893" spans="1:16" x14ac:dyDescent="0.25">
      <c r="A893" t="s">
        <v>902</v>
      </c>
      <c r="B893">
        <v>42.08</v>
      </c>
      <c r="C893">
        <v>-80.183000000000007</v>
      </c>
      <c r="D893" t="s">
        <v>1895</v>
      </c>
      <c r="E893" s="5">
        <v>1</v>
      </c>
      <c r="F893" s="7">
        <v>1</v>
      </c>
      <c r="G893">
        <f>22.5/2</f>
        <v>11.25</v>
      </c>
      <c r="H893" s="5">
        <f t="shared" si="27"/>
        <v>49.675781250000007</v>
      </c>
      <c r="I893">
        <f>2/H893</f>
        <v>4.0261067861917112E-2</v>
      </c>
      <c r="J893">
        <v>0</v>
      </c>
      <c r="K893">
        <v>0</v>
      </c>
      <c r="L893">
        <f>8/H893</f>
        <v>0.16104427144766845</v>
      </c>
      <c r="M893">
        <f>6.5/H893</f>
        <v>0.13084847055123061</v>
      </c>
      <c r="N893" s="5">
        <f>5.5*4.5/2/H893</f>
        <v>0.24911535739561214</v>
      </c>
      <c r="O893" s="5">
        <f>5*4/2/H893</f>
        <v>0.20130533930958555</v>
      </c>
      <c r="P893" s="5">
        <f>5.5*3/2/H893</f>
        <v>0.16607690493040808</v>
      </c>
    </row>
    <row r="894" spans="1:16" x14ac:dyDescent="0.25">
      <c r="A894" t="s">
        <v>772</v>
      </c>
      <c r="B894" s="5">
        <v>42.109000000000002</v>
      </c>
      <c r="C894" s="5">
        <v>-77.992000000000004</v>
      </c>
      <c r="D894" t="s">
        <v>1866</v>
      </c>
      <c r="E894" s="5">
        <v>1</v>
      </c>
      <c r="F894" s="7">
        <v>0</v>
      </c>
      <c r="G894">
        <f>23.5/2</f>
        <v>11.75</v>
      </c>
      <c r="H894" s="5">
        <f t="shared" si="27"/>
        <v>54.189531250000002</v>
      </c>
      <c r="I894">
        <f>(H894-5.5*6.5/2)/H894</f>
        <v>0.67013923930187158</v>
      </c>
      <c r="J894" s="5">
        <f>7.5*5/2/H894</f>
        <v>0.34600779094209272</v>
      </c>
      <c r="K894" s="5">
        <v>0</v>
      </c>
      <c r="L894" s="5">
        <f>6*2.5/2/H894</f>
        <v>0.13840311637683708</v>
      </c>
      <c r="M894" s="5">
        <f>8/H894</f>
        <v>0.14762999080195954</v>
      </c>
      <c r="N894">
        <f>3.5/H894</f>
        <v>6.458812097585731E-2</v>
      </c>
      <c r="O894">
        <v>0</v>
      </c>
      <c r="P894">
        <f>7.5*8/2/H894</f>
        <v>0.55361246550734833</v>
      </c>
    </row>
    <row r="895" spans="1:16" x14ac:dyDescent="0.25">
      <c r="A895" t="s">
        <v>353</v>
      </c>
      <c r="B895">
        <v>42.113</v>
      </c>
      <c r="C895">
        <v>-92.918000000000006</v>
      </c>
      <c r="D895" t="s">
        <v>1940</v>
      </c>
      <c r="E895" s="5">
        <v>1</v>
      </c>
      <c r="F895" s="7">
        <v>1</v>
      </c>
      <c r="G895">
        <v>12</v>
      </c>
      <c r="H895" s="5">
        <f t="shared" si="27"/>
        <v>56.519999999999996</v>
      </c>
      <c r="I895">
        <v>0</v>
      </c>
      <c r="J895">
        <v>0</v>
      </c>
      <c r="K895">
        <v>0</v>
      </c>
      <c r="L895">
        <f>2/H895</f>
        <v>3.5385704175513094E-2</v>
      </c>
      <c r="M895">
        <f>4/H895</f>
        <v>7.0771408351026188E-2</v>
      </c>
      <c r="N895">
        <f>1.5/H895</f>
        <v>2.6539278131634821E-2</v>
      </c>
      <c r="O895">
        <f>2.5/H895</f>
        <v>4.4232130219391368E-2</v>
      </c>
      <c r="P895">
        <v>0</v>
      </c>
    </row>
    <row r="896" spans="1:16" x14ac:dyDescent="0.25">
      <c r="A896" t="s">
        <v>404</v>
      </c>
      <c r="B896" s="5">
        <v>42.121000000000002</v>
      </c>
      <c r="C896" s="5">
        <v>-87.905000000000001</v>
      </c>
      <c r="D896" s="5" t="s">
        <v>2233</v>
      </c>
      <c r="E896" s="5">
        <v>1</v>
      </c>
      <c r="F896" s="7">
        <v>1</v>
      </c>
      <c r="G896">
        <f>21.4/2</f>
        <v>10.7</v>
      </c>
      <c r="H896" s="5">
        <f t="shared" si="27"/>
        <v>44.937324999999994</v>
      </c>
      <c r="I896">
        <v>0</v>
      </c>
      <c r="J896">
        <f>1/H896</f>
        <v>2.225321600696081E-2</v>
      </c>
      <c r="K896">
        <f>7*5.5/2/H896</f>
        <v>0.42837440813399558</v>
      </c>
      <c r="L896">
        <f>5/H896</f>
        <v>0.11126608003480404</v>
      </c>
      <c r="M896">
        <v>0</v>
      </c>
      <c r="N896">
        <f>4/H896</f>
        <v>8.9012864027843239E-2</v>
      </c>
      <c r="O896">
        <f>4.5/H896</f>
        <v>0.10013947203132365</v>
      </c>
      <c r="P896">
        <v>0</v>
      </c>
    </row>
    <row r="897" spans="1:16" x14ac:dyDescent="0.25">
      <c r="A897" t="s">
        <v>525</v>
      </c>
      <c r="B897" s="5">
        <v>42.128999999999998</v>
      </c>
      <c r="C897" s="5">
        <v>-86.421999999999997</v>
      </c>
      <c r="D897" s="5" t="s">
        <v>2040</v>
      </c>
      <c r="E897" s="5">
        <v>1</v>
      </c>
      <c r="F897" s="7">
        <v>1</v>
      </c>
      <c r="G897">
        <f>24.5/2</f>
        <v>12.25</v>
      </c>
      <c r="H897" s="5">
        <f t="shared" si="27"/>
        <v>58.899531250000003</v>
      </c>
      <c r="I897">
        <f>(H897-3.5*4.5/2)/H897</f>
        <v>0.86629774748844035</v>
      </c>
      <c r="J897">
        <f>(H897-11*3.5/2)/H897</f>
        <v>0.67317227163840965</v>
      </c>
      <c r="K897">
        <v>0</v>
      </c>
      <c r="L897">
        <v>0</v>
      </c>
      <c r="M897">
        <v>0</v>
      </c>
      <c r="N897">
        <v>0</v>
      </c>
      <c r="O897">
        <v>0</v>
      </c>
      <c r="P897">
        <f>9.5*5.5/2/H897</f>
        <v>0.44355191706215824</v>
      </c>
    </row>
    <row r="898" spans="1:16" x14ac:dyDescent="0.25">
      <c r="A898" t="s">
        <v>849</v>
      </c>
      <c r="B898" s="5">
        <v>42.146999999999998</v>
      </c>
      <c r="C898" s="5">
        <v>-121.724</v>
      </c>
      <c r="D898" s="5" t="s">
        <v>2004</v>
      </c>
      <c r="E898" s="5">
        <v>1</v>
      </c>
      <c r="F898" s="7">
        <v>0</v>
      </c>
      <c r="G898">
        <f>20.6/2</f>
        <v>10.3</v>
      </c>
      <c r="H898" s="5">
        <f t="shared" si="27"/>
        <v>41.640325000000011</v>
      </c>
      <c r="I898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</row>
    <row r="899" spans="1:16" x14ac:dyDescent="0.25">
      <c r="A899" t="s">
        <v>470</v>
      </c>
      <c r="B899" s="5">
        <v>42.15</v>
      </c>
      <c r="C899" s="5">
        <v>-70.933000000000007</v>
      </c>
      <c r="D899" s="5" t="s">
        <v>1841</v>
      </c>
      <c r="E899" s="5">
        <v>1</v>
      </c>
      <c r="F899" s="7">
        <v>0</v>
      </c>
      <c r="G899">
        <v>11.5</v>
      </c>
      <c r="H899" s="5">
        <f t="shared" si="27"/>
        <v>51.908124999999998</v>
      </c>
      <c r="I899">
        <v>0</v>
      </c>
      <c r="J899" s="5">
        <f>3.5/H899</f>
        <v>6.7426823835382232E-2</v>
      </c>
      <c r="K899" s="5">
        <f>3*8/2/H899</f>
        <v>0.23117768172131051</v>
      </c>
      <c r="L899" s="5">
        <f>4*7.5/2/H899</f>
        <v>0.2889721021516381</v>
      </c>
      <c r="M899" s="5">
        <f>0.5/H899</f>
        <v>9.6324034050546039E-3</v>
      </c>
      <c r="N899" s="5">
        <f>4/H899</f>
        <v>7.7059227240436831E-2</v>
      </c>
      <c r="O899" s="5">
        <v>0</v>
      </c>
      <c r="P899" s="5">
        <v>0</v>
      </c>
    </row>
    <row r="900" spans="1:16" x14ac:dyDescent="0.25">
      <c r="A900" t="s">
        <v>780</v>
      </c>
      <c r="B900">
        <v>42.152999999999999</v>
      </c>
      <c r="C900">
        <v>-79.251000000000005</v>
      </c>
      <c r="D900" t="s">
        <v>1886</v>
      </c>
      <c r="E900" s="5">
        <v>1</v>
      </c>
      <c r="F900" s="7">
        <v>0</v>
      </c>
      <c r="G900">
        <v>10</v>
      </c>
      <c r="H900" s="5">
        <f t="shared" si="27"/>
        <v>39.25</v>
      </c>
      <c r="I900">
        <f>0.6/H900</f>
        <v>1.5286624203821656E-2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f>3*3/2/H900</f>
        <v>0.11464968152866242</v>
      </c>
      <c r="P900" s="5">
        <f>1.4/H900</f>
        <v>3.5668789808917196E-2</v>
      </c>
    </row>
    <row r="901" spans="1:16" x14ac:dyDescent="0.25">
      <c r="A901" t="s">
        <v>479</v>
      </c>
      <c r="B901" s="5">
        <v>42.158000000000001</v>
      </c>
      <c r="C901" s="5">
        <v>-72.715999999999994</v>
      </c>
      <c r="D901" s="5" t="s">
        <v>2241</v>
      </c>
      <c r="E901" s="5">
        <v>1</v>
      </c>
      <c r="F901" s="7">
        <v>1</v>
      </c>
      <c r="G901">
        <v>12.5</v>
      </c>
      <c r="H901" s="5">
        <f t="shared" si="27"/>
        <v>61.328125</v>
      </c>
      <c r="I901">
        <f>1.5*1.5/H901</f>
        <v>3.6687898089171972E-2</v>
      </c>
      <c r="J901">
        <f>7*3.5/2/H901</f>
        <v>0.19974522292993629</v>
      </c>
      <c r="K901">
        <f>(H901-12.5*3/2)/H901</f>
        <v>0.69426751592356684</v>
      </c>
      <c r="L901">
        <f>(H901-9.5*3.5/2)/H901</f>
        <v>0.72891719745222927</v>
      </c>
      <c r="M901">
        <f>1/H901</f>
        <v>1.6305732484076432E-2</v>
      </c>
      <c r="N901">
        <v>0</v>
      </c>
      <c r="O901">
        <v>0</v>
      </c>
      <c r="P901">
        <v>0</v>
      </c>
    </row>
    <row r="902" spans="1:16" x14ac:dyDescent="0.25">
      <c r="A902" t="s">
        <v>771</v>
      </c>
      <c r="B902" s="5">
        <v>42.158999999999999</v>
      </c>
      <c r="C902" s="5">
        <v>-76.891999999999996</v>
      </c>
      <c r="D902" s="5" t="s">
        <v>1865</v>
      </c>
      <c r="E902" s="5">
        <v>1</v>
      </c>
      <c r="F902" s="7">
        <v>0</v>
      </c>
      <c r="G902">
        <f>21.6/2</f>
        <v>10.8</v>
      </c>
      <c r="H902" s="5">
        <f t="shared" si="27"/>
        <v>45.781200000000013</v>
      </c>
      <c r="I902">
        <v>0</v>
      </c>
      <c r="J902">
        <v>0</v>
      </c>
      <c r="K902">
        <f>2/H902</f>
        <v>4.3686054537670473E-2</v>
      </c>
      <c r="L902">
        <v>0</v>
      </c>
      <c r="M902" s="5">
        <v>0</v>
      </c>
      <c r="N902" s="5">
        <v>0</v>
      </c>
      <c r="O902" s="5">
        <v>0</v>
      </c>
      <c r="P902">
        <f>6/H902</f>
        <v>0.13105816361301142</v>
      </c>
    </row>
    <row r="903" spans="1:16" x14ac:dyDescent="0.25">
      <c r="A903" t="s">
        <v>471</v>
      </c>
      <c r="B903" s="5">
        <v>42.191000000000003</v>
      </c>
      <c r="C903" s="5">
        <v>-71.174000000000007</v>
      </c>
      <c r="D903" s="5" t="s">
        <v>1842</v>
      </c>
      <c r="E903" s="5">
        <v>1</v>
      </c>
      <c r="F903" s="7">
        <v>1</v>
      </c>
      <c r="G903">
        <v>10</v>
      </c>
      <c r="H903" s="5">
        <f t="shared" si="27"/>
        <v>39.25</v>
      </c>
      <c r="I903">
        <f>(H903-3.2*4/2)/H903</f>
        <v>0.8369426751592357</v>
      </c>
      <c r="J903">
        <f>7.5*5.5/2/H903</f>
        <v>0.52547770700636942</v>
      </c>
      <c r="K903">
        <v>0</v>
      </c>
      <c r="L903">
        <f>5*3/2/H903</f>
        <v>0.19108280254777071</v>
      </c>
      <c r="M903">
        <f>6/H903</f>
        <v>0.15286624203821655</v>
      </c>
      <c r="N903">
        <v>0</v>
      </c>
      <c r="O903">
        <v>0</v>
      </c>
      <c r="P903">
        <f>3.5*6.5/2/H903</f>
        <v>0.28980891719745222</v>
      </c>
    </row>
    <row r="904" spans="1:16" x14ac:dyDescent="0.25">
      <c r="A904" t="s">
        <v>401</v>
      </c>
      <c r="B904" s="5">
        <v>42.195999999999998</v>
      </c>
      <c r="C904" s="5">
        <v>-89.093000000000004</v>
      </c>
      <c r="D904" s="5" t="s">
        <v>1934</v>
      </c>
      <c r="E904" s="5">
        <v>1</v>
      </c>
      <c r="F904" s="7">
        <v>1</v>
      </c>
      <c r="G904">
        <v>11</v>
      </c>
      <c r="H904" s="5">
        <f t="shared" si="27"/>
        <v>47.4925</v>
      </c>
      <c r="I904">
        <v>0</v>
      </c>
      <c r="J904">
        <v>0</v>
      </c>
      <c r="K904">
        <v>0</v>
      </c>
      <c r="L904">
        <v>0</v>
      </c>
      <c r="M904">
        <v>0</v>
      </c>
      <c r="N904">
        <f>5.5/2/H904</f>
        <v>5.7903879559930517E-2</v>
      </c>
      <c r="O904">
        <f>2/H904</f>
        <v>4.2111912407222195E-2</v>
      </c>
      <c r="P904">
        <f>0.5/H904</f>
        <v>1.0527978101805549E-2</v>
      </c>
    </row>
    <row r="905" spans="1:16" x14ac:dyDescent="0.25">
      <c r="A905" t="s">
        <v>478</v>
      </c>
      <c r="B905" s="5">
        <v>42.198</v>
      </c>
      <c r="C905" s="5">
        <v>-72.534000000000006</v>
      </c>
      <c r="D905" s="5" t="s">
        <v>2240</v>
      </c>
      <c r="E905" s="5">
        <v>1</v>
      </c>
      <c r="F905" s="7">
        <v>0</v>
      </c>
      <c r="G905">
        <f>22.7/2</f>
        <v>11.35</v>
      </c>
      <c r="H905" s="5">
        <f t="shared" si="27"/>
        <v>50.562831250000002</v>
      </c>
      <c r="I90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</row>
    <row r="906" spans="1:16" x14ac:dyDescent="0.25">
      <c r="A906" t="s">
        <v>769</v>
      </c>
      <c r="B906" s="5">
        <v>42.207999999999998</v>
      </c>
      <c r="C906" s="5">
        <v>-75.980999999999995</v>
      </c>
      <c r="D906" s="5" t="s">
        <v>1863</v>
      </c>
      <c r="E906" s="5">
        <v>1</v>
      </c>
      <c r="F906" s="7">
        <v>1</v>
      </c>
      <c r="G906">
        <f>22.5/2</f>
        <v>11.25</v>
      </c>
      <c r="H906" s="5">
        <f t="shared" si="27"/>
        <v>49.675781250000007</v>
      </c>
      <c r="I906">
        <v>0</v>
      </c>
      <c r="J906">
        <f>2/H906</f>
        <v>4.0261067861917112E-2</v>
      </c>
      <c r="K906">
        <v>0</v>
      </c>
      <c r="L906">
        <f>0.5/H906</f>
        <v>1.0065266965479278E-2</v>
      </c>
      <c r="M906">
        <f>(H906-6*6.5/2)/H906</f>
        <v>0.60745458834630817</v>
      </c>
      <c r="N906">
        <f>7*4.5/2/H906</f>
        <v>0.31705590941259726</v>
      </c>
      <c r="O906">
        <f>2.5/H906</f>
        <v>5.0326334827396388E-2</v>
      </c>
      <c r="P906">
        <f>8.5/H906</f>
        <v>0.17110953841314774</v>
      </c>
    </row>
    <row r="907" spans="1:16" x14ac:dyDescent="0.25">
      <c r="A907" t="s">
        <v>511</v>
      </c>
      <c r="B907" s="5">
        <v>42.215000000000003</v>
      </c>
      <c r="C907" s="5">
        <v>-83.349000000000004</v>
      </c>
      <c r="D907" s="5" t="s">
        <v>1921</v>
      </c>
      <c r="E907" s="5">
        <v>1</v>
      </c>
      <c r="F907" s="7">
        <v>1</v>
      </c>
      <c r="G907">
        <v>9.5</v>
      </c>
      <c r="H907" s="5">
        <f t="shared" ref="H907:H955" si="28">3.14*G907*G907/8</f>
        <v>35.423124999999999</v>
      </c>
      <c r="I907">
        <f>1.5/H907</f>
        <v>4.2345219401168026E-2</v>
      </c>
      <c r="J907" s="5">
        <f>1.2*3.8/H907</f>
        <v>0.12872946697955079</v>
      </c>
      <c r="K907" s="5">
        <f>1.4*2.2/H907</f>
        <v>8.6948850503731676E-2</v>
      </c>
      <c r="L907" s="5">
        <f>2*1.5/H907</f>
        <v>8.4690438802336052E-2</v>
      </c>
      <c r="M907" s="5">
        <v>0</v>
      </c>
      <c r="N907" s="5">
        <v>0</v>
      </c>
      <c r="O907" s="5">
        <v>0</v>
      </c>
      <c r="P907" s="5">
        <v>0</v>
      </c>
    </row>
    <row r="908" spans="1:16" x14ac:dyDescent="0.25">
      <c r="A908" t="s">
        <v>512</v>
      </c>
      <c r="B908" s="5">
        <v>42.222999999999999</v>
      </c>
      <c r="C908" s="5">
        <v>-83.744</v>
      </c>
      <c r="D908" s="5" t="s">
        <v>1922</v>
      </c>
      <c r="E908">
        <v>1</v>
      </c>
      <c r="F908" s="7">
        <v>1</v>
      </c>
      <c r="G908">
        <v>12</v>
      </c>
      <c r="H908" s="5">
        <f t="shared" si="28"/>
        <v>56.519999999999996</v>
      </c>
      <c r="I908">
        <f>2.5*2/H908</f>
        <v>8.8464260438782735E-2</v>
      </c>
      <c r="J908">
        <f>2*2.8/H908</f>
        <v>9.9079971691436661E-2</v>
      </c>
      <c r="K908">
        <f>6*5/H908</f>
        <v>0.53078556263269638</v>
      </c>
      <c r="L908">
        <f>2.5*2.5/H908</f>
        <v>0.11058032554847842</v>
      </c>
      <c r="M908">
        <f>3*3.5/H908</f>
        <v>0.18577494692144375</v>
      </c>
      <c r="N908">
        <v>0</v>
      </c>
      <c r="O908">
        <v>0</v>
      </c>
      <c r="P908">
        <f>7.5*4.5/2/H908</f>
        <v>0.29856687898089174</v>
      </c>
    </row>
    <row r="909" spans="1:16" x14ac:dyDescent="0.25">
      <c r="A909" t="s">
        <v>526</v>
      </c>
      <c r="B909" s="5">
        <v>42.234999999999999</v>
      </c>
      <c r="C909" s="5">
        <v>-85.552000000000007</v>
      </c>
      <c r="D909" s="5" t="s">
        <v>2041</v>
      </c>
      <c r="E909">
        <v>1</v>
      </c>
      <c r="F909" s="7">
        <v>1</v>
      </c>
      <c r="G909">
        <f>19.5/2</f>
        <v>9.75</v>
      </c>
      <c r="H909" s="5">
        <f t="shared" si="28"/>
        <v>37.312031250000004</v>
      </c>
      <c r="I909">
        <f>4*1.5/2/H909</f>
        <v>8.0403020138443942E-2</v>
      </c>
      <c r="J909">
        <f>3*4/H909</f>
        <v>0.32161208055377577</v>
      </c>
      <c r="K909">
        <f>4*1.5/2/H909</f>
        <v>8.0403020138443942E-2</v>
      </c>
      <c r="L909">
        <f>3*4/H909</f>
        <v>0.32161208055377577</v>
      </c>
      <c r="M909">
        <f>1.5*4/2/H909</f>
        <v>8.0403020138443942E-2</v>
      </c>
      <c r="N909">
        <v>0</v>
      </c>
      <c r="O909">
        <v>0</v>
      </c>
      <c r="P909">
        <v>0</v>
      </c>
    </row>
    <row r="910" spans="1:16" x14ac:dyDescent="0.25">
      <c r="A910" t="s">
        <v>514</v>
      </c>
      <c r="B910" s="5">
        <v>42.237000000000002</v>
      </c>
      <c r="C910" s="5">
        <v>-83.23</v>
      </c>
      <c r="D910" t="s">
        <v>1924</v>
      </c>
      <c r="E910" s="5">
        <v>1</v>
      </c>
      <c r="F910" s="7">
        <v>1</v>
      </c>
      <c r="G910">
        <f>23.7/2</f>
        <v>11.85</v>
      </c>
      <c r="H910" s="5">
        <f t="shared" si="28"/>
        <v>55.115831250000006</v>
      </c>
      <c r="I910">
        <f>1/H910</f>
        <v>1.8143607332421388E-2</v>
      </c>
      <c r="J910" s="5">
        <f>3.5/H910</f>
        <v>6.3502625663474865E-2</v>
      </c>
      <c r="K910" s="5">
        <f>8/H910</f>
        <v>0.1451488586593711</v>
      </c>
      <c r="L910" s="5">
        <f>10/H910</f>
        <v>0.18143607332421388</v>
      </c>
      <c r="M910" s="5">
        <v>0</v>
      </c>
      <c r="N910" s="5">
        <v>0</v>
      </c>
      <c r="O910" s="5">
        <v>0</v>
      </c>
      <c r="P910" s="5">
        <v>0</v>
      </c>
    </row>
    <row r="911" spans="1:16" x14ac:dyDescent="0.25">
      <c r="A911" t="s">
        <v>520</v>
      </c>
      <c r="B911" s="5">
        <v>42.26</v>
      </c>
      <c r="C911" s="5">
        <v>-84.459000000000003</v>
      </c>
      <c r="D911" t="s">
        <v>1930</v>
      </c>
      <c r="E911" s="5">
        <v>1</v>
      </c>
      <c r="F911" s="7">
        <v>1</v>
      </c>
      <c r="G911">
        <v>10.5</v>
      </c>
      <c r="H911" s="5">
        <f t="shared" si="28"/>
        <v>43.273125</v>
      </c>
      <c r="I911">
        <f>4.5*2.8/2/H911</f>
        <v>0.14558689717925385</v>
      </c>
      <c r="J911" s="5">
        <f>4.5*5/2/H911</f>
        <v>0.25997660210581047</v>
      </c>
      <c r="K911" s="5">
        <f>7*1.2/2/H911</f>
        <v>9.7057931452835922E-2</v>
      </c>
      <c r="L911" s="5">
        <v>0</v>
      </c>
      <c r="M911" s="5">
        <v>0</v>
      </c>
      <c r="N911" s="5">
        <f>2.5*5/2/H911</f>
        <v>0.14443144561433915</v>
      </c>
      <c r="O911" s="5">
        <f>3/H911</f>
        <v>6.9327093894882799E-2</v>
      </c>
      <c r="P911" s="5">
        <f>2*2/2/H911</f>
        <v>4.6218062596588526E-2</v>
      </c>
    </row>
    <row r="912" spans="1:16" x14ac:dyDescent="0.25">
      <c r="A912" t="s">
        <v>521</v>
      </c>
      <c r="B912">
        <v>42.308</v>
      </c>
      <c r="C912">
        <v>-85.251000000000005</v>
      </c>
      <c r="D912" t="s">
        <v>1931</v>
      </c>
      <c r="E912" s="5">
        <v>1</v>
      </c>
      <c r="F912" s="7">
        <v>1</v>
      </c>
      <c r="G912">
        <v>12</v>
      </c>
      <c r="H912" s="5">
        <f t="shared" si="28"/>
        <v>56.519999999999996</v>
      </c>
      <c r="I912">
        <v>0</v>
      </c>
      <c r="J912">
        <f>4.5/H912</f>
        <v>7.9617834394904469E-2</v>
      </c>
      <c r="K912">
        <f>2.5*7/2/H912</f>
        <v>0.15481245576786978</v>
      </c>
      <c r="L912">
        <f>2*3.5/H912</f>
        <v>0.12384996461429583</v>
      </c>
      <c r="M912">
        <v>0</v>
      </c>
      <c r="N912">
        <v>0</v>
      </c>
      <c r="O912">
        <v>0</v>
      </c>
      <c r="P912">
        <v>0</v>
      </c>
    </row>
    <row r="913" spans="1:16" x14ac:dyDescent="0.25">
      <c r="A913" t="s">
        <v>469</v>
      </c>
      <c r="B913" s="5">
        <v>42.360999999999997</v>
      </c>
      <c r="C913" s="5">
        <v>-71.010999999999996</v>
      </c>
      <c r="D913" s="5" t="s">
        <v>1840</v>
      </c>
      <c r="E913" s="5">
        <v>1</v>
      </c>
      <c r="F913" s="7">
        <v>1</v>
      </c>
      <c r="G913">
        <v>12</v>
      </c>
      <c r="H913" s="5">
        <f t="shared" si="28"/>
        <v>56.519999999999996</v>
      </c>
      <c r="I913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</row>
    <row r="914" spans="1:16" x14ac:dyDescent="0.25">
      <c r="A914" t="s">
        <v>850</v>
      </c>
      <c r="B914" s="5">
        <v>42.389000000000003</v>
      </c>
      <c r="C914" s="5">
        <v>-122.871</v>
      </c>
      <c r="D914" s="5" t="s">
        <v>2012</v>
      </c>
      <c r="E914" s="5">
        <v>1</v>
      </c>
      <c r="F914" s="7">
        <v>1</v>
      </c>
      <c r="G914" s="5">
        <v>9.5</v>
      </c>
      <c r="H914" s="5">
        <f t="shared" si="28"/>
        <v>35.423124999999999</v>
      </c>
      <c r="I914" s="5">
        <f>2/H914</f>
        <v>5.6460292534890696E-2</v>
      </c>
      <c r="J914" s="5">
        <v>0</v>
      </c>
      <c r="K914" s="5">
        <v>0</v>
      </c>
      <c r="L914" s="5">
        <v>0</v>
      </c>
      <c r="M914" s="5">
        <f>1.5/H914</f>
        <v>4.2345219401168026E-2</v>
      </c>
      <c r="N914" s="5">
        <f>2.5/H914</f>
        <v>7.0575365668613374E-2</v>
      </c>
      <c r="O914" s="5">
        <f>3/H914</f>
        <v>8.4690438802336052E-2</v>
      </c>
      <c r="P914" s="5">
        <f>7/H914</f>
        <v>0.19761102387211743</v>
      </c>
    </row>
    <row r="915" spans="1:16" x14ac:dyDescent="0.25">
      <c r="A915" t="s">
        <v>361</v>
      </c>
      <c r="B915" s="5">
        <v>42.390999999999998</v>
      </c>
      <c r="C915" s="5">
        <v>-96.379000000000005</v>
      </c>
      <c r="D915" s="5" t="s">
        <v>1963</v>
      </c>
      <c r="E915" s="5">
        <v>1</v>
      </c>
      <c r="F915" s="7">
        <v>1</v>
      </c>
      <c r="G915" s="5">
        <v>9.5</v>
      </c>
      <c r="H915" s="5">
        <f t="shared" si="28"/>
        <v>35.423124999999999</v>
      </c>
      <c r="I915" s="5">
        <v>0</v>
      </c>
      <c r="J915" s="5">
        <v>0</v>
      </c>
      <c r="K915" s="5">
        <v>0</v>
      </c>
      <c r="L915" s="5">
        <f>2/H915</f>
        <v>5.6460292534890696E-2</v>
      </c>
      <c r="M915" s="5">
        <v>0</v>
      </c>
      <c r="N915" s="5">
        <v>0</v>
      </c>
      <c r="O915" s="5">
        <v>0</v>
      </c>
      <c r="P915" s="5">
        <v>0</v>
      </c>
    </row>
    <row r="916" spans="1:16" x14ac:dyDescent="0.25">
      <c r="A916" t="s">
        <v>356</v>
      </c>
      <c r="B916" s="5">
        <v>42.398000000000003</v>
      </c>
      <c r="C916" s="5">
        <v>-90.703999999999994</v>
      </c>
      <c r="D916" s="5" t="s">
        <v>1943</v>
      </c>
      <c r="E916" s="5">
        <v>1</v>
      </c>
      <c r="F916" s="7">
        <v>1</v>
      </c>
      <c r="G916">
        <v>12.5</v>
      </c>
      <c r="H916" s="5">
        <f t="shared" si="28"/>
        <v>61.328125</v>
      </c>
      <c r="I916">
        <v>0</v>
      </c>
      <c r="J916">
        <v>0</v>
      </c>
      <c r="K916" s="5">
        <f>4/H916</f>
        <v>6.5222929936305726E-2</v>
      </c>
      <c r="L916" s="5">
        <f>1.5*3/H916</f>
        <v>7.3375796178343944E-2</v>
      </c>
      <c r="M916" s="5">
        <v>0</v>
      </c>
      <c r="N916" s="5">
        <v>0</v>
      </c>
      <c r="O916" s="5">
        <v>0</v>
      </c>
      <c r="P916" s="5">
        <v>0</v>
      </c>
    </row>
    <row r="917" spans="1:16" x14ac:dyDescent="0.25">
      <c r="A917" t="s">
        <v>513</v>
      </c>
      <c r="B917" s="5">
        <v>42.408999999999999</v>
      </c>
      <c r="C917" s="5">
        <v>-83.01</v>
      </c>
      <c r="D917" s="5" t="s">
        <v>1923</v>
      </c>
      <c r="E917" s="5">
        <v>1</v>
      </c>
      <c r="F917" s="7">
        <v>1</v>
      </c>
      <c r="G917">
        <f>21.6/2</f>
        <v>10.8</v>
      </c>
      <c r="H917" s="5">
        <f t="shared" si="28"/>
        <v>45.781200000000013</v>
      </c>
      <c r="I917">
        <f>2/H917</f>
        <v>4.3686054537670473E-2</v>
      </c>
      <c r="J917">
        <f>0.5/H917</f>
        <v>1.0921513634417618E-2</v>
      </c>
      <c r="K917">
        <v>0</v>
      </c>
      <c r="L917">
        <f>3.5/H917</f>
        <v>7.6450595440923322E-2</v>
      </c>
      <c r="M917">
        <f>1/H917</f>
        <v>2.1843027268835236E-2</v>
      </c>
      <c r="N917">
        <v>0</v>
      </c>
      <c r="O917" s="5">
        <f>2.5/H917</f>
        <v>5.4607568172088089E-2</v>
      </c>
      <c r="P917" s="5">
        <f>6*1.3/H917</f>
        <v>0.17037561269691487</v>
      </c>
    </row>
    <row r="918" spans="1:16" x14ac:dyDescent="0.25">
      <c r="A918" t="s">
        <v>400</v>
      </c>
      <c r="B918" s="5">
        <v>42.421999999999997</v>
      </c>
      <c r="C918" s="5">
        <v>-87.867999999999995</v>
      </c>
      <c r="D918" s="5" t="s">
        <v>1915</v>
      </c>
      <c r="E918" s="5">
        <v>1</v>
      </c>
      <c r="F918" s="7">
        <v>1</v>
      </c>
      <c r="G918" s="5">
        <v>12</v>
      </c>
      <c r="H918" s="5">
        <f t="shared" si="28"/>
        <v>56.519999999999996</v>
      </c>
      <c r="I918" s="5">
        <f>10*6/2/H918</f>
        <v>0.53078556263269638</v>
      </c>
      <c r="J918" s="5">
        <f>3/H918</f>
        <v>5.3078556263269641E-2</v>
      </c>
      <c r="K918" s="5">
        <f>1/H918</f>
        <v>1.7692852087756547E-2</v>
      </c>
      <c r="L918" s="5">
        <f>1.5/H918</f>
        <v>2.6539278131634821E-2</v>
      </c>
      <c r="M918" s="5">
        <f>3/H918</f>
        <v>5.3078556263269641E-2</v>
      </c>
      <c r="N918" s="5">
        <f>3/H918</f>
        <v>5.3078556263269641E-2</v>
      </c>
      <c r="O918" s="5">
        <f>8*9.5/2/H918</f>
        <v>0.67232837933474876</v>
      </c>
      <c r="P918" s="5">
        <f>8.5*10.5/2/H918</f>
        <v>0.78954352441613596</v>
      </c>
    </row>
    <row r="919" spans="1:16" x14ac:dyDescent="0.25">
      <c r="A919" t="s">
        <v>473</v>
      </c>
      <c r="B919" s="5">
        <v>42.427</v>
      </c>
      <c r="C919" s="5">
        <v>-73.289000000000001</v>
      </c>
      <c r="D919" s="5" t="s">
        <v>2231</v>
      </c>
      <c r="E919" s="5">
        <v>1</v>
      </c>
      <c r="F919" s="7">
        <v>1</v>
      </c>
      <c r="G919">
        <v>10</v>
      </c>
      <c r="H919" s="5">
        <f t="shared" si="28"/>
        <v>39.25</v>
      </c>
      <c r="I919">
        <f>7.5*4/2/H919</f>
        <v>0.38216560509554143</v>
      </c>
      <c r="J919">
        <f>4*3/2/H919</f>
        <v>0.15286624203821655</v>
      </c>
      <c r="K919">
        <f>6*7/2/H919</f>
        <v>0.53503184713375795</v>
      </c>
      <c r="L919">
        <v>0</v>
      </c>
      <c r="M919">
        <f>4*4/2/H919</f>
        <v>0.20382165605095542</v>
      </c>
      <c r="N919">
        <f>5.5/H919</f>
        <v>0.14012738853503184</v>
      </c>
      <c r="O919">
        <v>0</v>
      </c>
      <c r="P919">
        <f>7.5*5/2/H919</f>
        <v>0.47770700636942676</v>
      </c>
    </row>
    <row r="920" spans="1:16" x14ac:dyDescent="0.25">
      <c r="A920" t="s">
        <v>457</v>
      </c>
      <c r="B920" s="1">
        <v>42.47</v>
      </c>
      <c r="C920" s="1">
        <v>-71.289000000000001</v>
      </c>
      <c r="D920" s="1" t="s">
        <v>1821</v>
      </c>
      <c r="E920">
        <v>1</v>
      </c>
      <c r="F920" s="7">
        <v>1</v>
      </c>
      <c r="G920">
        <v>10</v>
      </c>
      <c r="H920" s="5">
        <f t="shared" si="28"/>
        <v>39.25</v>
      </c>
      <c r="I920">
        <v>0</v>
      </c>
      <c r="J920">
        <v>0</v>
      </c>
      <c r="K920">
        <v>0</v>
      </c>
      <c r="L920">
        <v>0</v>
      </c>
      <c r="M920">
        <v>0</v>
      </c>
      <c r="N920">
        <f>1.8*1.7/H920</f>
        <v>7.7961783439490451E-2</v>
      </c>
      <c r="O920">
        <f>5*0.5/H920</f>
        <v>6.3694267515923567E-2</v>
      </c>
      <c r="P920">
        <v>0</v>
      </c>
    </row>
    <row r="921" spans="1:16" x14ac:dyDescent="0.25">
      <c r="A921" t="s">
        <v>474</v>
      </c>
      <c r="B921" s="1">
        <v>42.47</v>
      </c>
      <c r="C921" s="1">
        <v>-71.289000000000001</v>
      </c>
      <c r="D921" s="1" t="s">
        <v>1821</v>
      </c>
      <c r="E921" s="5">
        <v>1</v>
      </c>
      <c r="F921" s="7">
        <v>1</v>
      </c>
      <c r="G921">
        <v>10</v>
      </c>
      <c r="H921" s="5">
        <f t="shared" si="28"/>
        <v>39.25</v>
      </c>
      <c r="I921">
        <v>0</v>
      </c>
      <c r="J921">
        <v>0</v>
      </c>
      <c r="K921">
        <v>0</v>
      </c>
      <c r="L921">
        <v>0</v>
      </c>
      <c r="M921">
        <v>0</v>
      </c>
      <c r="N921">
        <f>1.8*1.7/H921</f>
        <v>7.7961783439490451E-2</v>
      </c>
      <c r="O921">
        <f>5*0.5/H921</f>
        <v>6.3694267515923567E-2</v>
      </c>
      <c r="P921">
        <v>0</v>
      </c>
    </row>
    <row r="922" spans="1:16" x14ac:dyDescent="0.25">
      <c r="A922" t="s">
        <v>371</v>
      </c>
      <c r="B922">
        <v>42.481999999999999</v>
      </c>
      <c r="C922">
        <v>-114.48699999999999</v>
      </c>
      <c r="D922" t="s">
        <v>2002</v>
      </c>
      <c r="E922" s="5">
        <v>1</v>
      </c>
      <c r="F922" s="7">
        <v>1</v>
      </c>
      <c r="G922">
        <v>12</v>
      </c>
      <c r="H922" s="5">
        <f t="shared" si="28"/>
        <v>56.519999999999996</v>
      </c>
      <c r="I922">
        <v>0</v>
      </c>
      <c r="J922" s="5">
        <v>0</v>
      </c>
      <c r="K922" s="5">
        <v>0</v>
      </c>
      <c r="L922" s="5">
        <f>4.5/H922</f>
        <v>7.9617834394904469E-2</v>
      </c>
      <c r="M922" s="5">
        <v>0</v>
      </c>
      <c r="N922" s="5">
        <v>0</v>
      </c>
      <c r="O922" s="5">
        <v>0</v>
      </c>
      <c r="P922" s="5">
        <v>0</v>
      </c>
    </row>
    <row r="923" spans="1:16" x14ac:dyDescent="0.25">
      <c r="A923" t="s">
        <v>770</v>
      </c>
      <c r="B923">
        <v>42.491</v>
      </c>
      <c r="C923">
        <v>-76.457999999999998</v>
      </c>
      <c r="D923" t="s">
        <v>1864</v>
      </c>
      <c r="E923" s="5">
        <v>1</v>
      </c>
      <c r="F923" s="7">
        <v>0</v>
      </c>
      <c r="G923">
        <f>21.5/2</f>
        <v>10.75</v>
      </c>
      <c r="H923" s="5">
        <f t="shared" si="28"/>
        <v>45.358281250000005</v>
      </c>
      <c r="I923">
        <v>0</v>
      </c>
      <c r="J923">
        <f>5.5/H923</f>
        <v>0.12125679916498157</v>
      </c>
      <c r="K923">
        <f>2/H923</f>
        <v>4.4093381514538753E-2</v>
      </c>
      <c r="L923">
        <v>0</v>
      </c>
      <c r="M923">
        <f>3.4/H923</f>
        <v>7.4958748574715878E-2</v>
      </c>
      <c r="N923">
        <f>8/H923</f>
        <v>0.17637352605815501</v>
      </c>
      <c r="O923">
        <f>3*3.5/2/H923</f>
        <v>0.11574512647566423</v>
      </c>
      <c r="P923">
        <v>0</v>
      </c>
    </row>
    <row r="924" spans="1:16" x14ac:dyDescent="0.25">
      <c r="A924" t="s">
        <v>793</v>
      </c>
      <c r="B924">
        <v>42.493000000000002</v>
      </c>
      <c r="C924">
        <v>-79.272000000000006</v>
      </c>
      <c r="D924" t="s">
        <v>2242</v>
      </c>
      <c r="E924" s="5">
        <v>1</v>
      </c>
      <c r="F924" s="7">
        <v>1</v>
      </c>
      <c r="G924">
        <f>19.5/2</f>
        <v>9.75</v>
      </c>
      <c r="H924" s="5">
        <f t="shared" si="28"/>
        <v>37.312031250000004</v>
      </c>
      <c r="I924">
        <v>0</v>
      </c>
      <c r="J924">
        <f>1.5/H924</f>
        <v>4.0201510069221971E-2</v>
      </c>
      <c r="K924">
        <v>0</v>
      </c>
      <c r="L924">
        <v>0</v>
      </c>
      <c r="M924">
        <v>0</v>
      </c>
      <c r="N924">
        <v>0</v>
      </c>
      <c r="O924">
        <f>1.2*4.2/H924</f>
        <v>0.13507707383258583</v>
      </c>
      <c r="P924">
        <f>1.5/H924</f>
        <v>4.0201510069221971E-2</v>
      </c>
    </row>
    <row r="925" spans="1:16" x14ac:dyDescent="0.25">
      <c r="A925" t="s">
        <v>372</v>
      </c>
      <c r="B925" s="5">
        <v>42.542999999999999</v>
      </c>
      <c r="C925" s="5">
        <v>-113.77200000000001</v>
      </c>
      <c r="D925" s="5" t="s">
        <v>2003</v>
      </c>
      <c r="E925" s="5">
        <v>1</v>
      </c>
      <c r="F925" s="7">
        <v>1</v>
      </c>
      <c r="G925">
        <v>10.5</v>
      </c>
      <c r="H925" s="5">
        <f t="shared" si="28"/>
        <v>43.273125</v>
      </c>
      <c r="I925">
        <f>5.5*3/2/H925</f>
        <v>0.19064950821092769</v>
      </c>
      <c r="J925">
        <f>8.5*6/6/H925</f>
        <v>0.19642676603550124</v>
      </c>
      <c r="K925">
        <f>(H925-9*5/2)/H925</f>
        <v>0.48004679578837905</v>
      </c>
      <c r="L925">
        <f>2/H925</f>
        <v>4.6218062596588526E-2</v>
      </c>
      <c r="M925">
        <f>3/H925</f>
        <v>6.9327093894882799E-2</v>
      </c>
      <c r="N925">
        <v>0</v>
      </c>
      <c r="O925">
        <f>8*0.8/H925</f>
        <v>0.14789780030908331</v>
      </c>
      <c r="P925">
        <f>3*3.5/2/H925</f>
        <v>0.12132241431604489</v>
      </c>
    </row>
    <row r="926" spans="1:16" x14ac:dyDescent="0.25">
      <c r="A926" t="s">
        <v>472</v>
      </c>
      <c r="B926" s="5">
        <v>42.552</v>
      </c>
      <c r="C926" s="5">
        <v>-71.756</v>
      </c>
      <c r="D926" s="5" t="s">
        <v>1847</v>
      </c>
      <c r="E926" s="5">
        <v>1</v>
      </c>
      <c r="F926" s="7">
        <v>1</v>
      </c>
      <c r="G926">
        <v>11.1</v>
      </c>
      <c r="H926" s="5">
        <f t="shared" si="28"/>
        <v>48.359924999999997</v>
      </c>
      <c r="I926">
        <f>4.2*4.2/2/H926</f>
        <v>0.18238241684617998</v>
      </c>
      <c r="J926">
        <f>8.5*4.5/2/H926</f>
        <v>0.39547207734503315</v>
      </c>
      <c r="K926">
        <f>(H926-6.5*7.5/2)/H926</f>
        <v>0.49596696024652642</v>
      </c>
      <c r="L926">
        <f>4*4/2/H926</f>
        <v>0.16542622843190929</v>
      </c>
      <c r="M926">
        <v>0</v>
      </c>
      <c r="N926">
        <f>6/H926</f>
        <v>0.12406967132393196</v>
      </c>
      <c r="O926">
        <f>3.5/H926</f>
        <v>7.2373974938960306E-2</v>
      </c>
      <c r="P926">
        <f>4*4.5/2/H926</f>
        <v>0.18610450698589795</v>
      </c>
    </row>
    <row r="927" spans="1:16" x14ac:dyDescent="0.25">
      <c r="A927" t="s">
        <v>358</v>
      </c>
      <c r="B927" s="5">
        <v>42.554000000000002</v>
      </c>
      <c r="C927" s="5">
        <v>-92.400999999999996</v>
      </c>
      <c r="D927" s="5" t="s">
        <v>1945</v>
      </c>
      <c r="E927" s="5">
        <v>1</v>
      </c>
      <c r="F927" s="7">
        <v>1</v>
      </c>
      <c r="G927">
        <f>25.5/2</f>
        <v>12.75</v>
      </c>
      <c r="H927" s="5">
        <f t="shared" si="28"/>
        <v>63.805781250000003</v>
      </c>
      <c r="I927">
        <v>0</v>
      </c>
      <c r="J927">
        <f>0.5/H927</f>
        <v>7.8362805094561866E-3</v>
      </c>
      <c r="K927">
        <v>0</v>
      </c>
      <c r="L927">
        <v>0</v>
      </c>
      <c r="M927">
        <v>0</v>
      </c>
      <c r="N927">
        <v>0</v>
      </c>
      <c r="O927">
        <f>3/H927</f>
        <v>4.701768305673712E-2</v>
      </c>
      <c r="P927">
        <v>0</v>
      </c>
    </row>
    <row r="928" spans="1:16" x14ac:dyDescent="0.25">
      <c r="A928" t="s">
        <v>476</v>
      </c>
      <c r="B928" s="5">
        <v>42.567</v>
      </c>
      <c r="C928" s="5">
        <v>-71.599999999999994</v>
      </c>
      <c r="D928" s="5" t="s">
        <v>2238</v>
      </c>
      <c r="E928" s="5">
        <v>1</v>
      </c>
      <c r="F928" s="7">
        <v>0</v>
      </c>
      <c r="G928">
        <f>23.5/2</f>
        <v>11.75</v>
      </c>
      <c r="H928" s="5">
        <f t="shared" si="28"/>
        <v>54.189531250000002</v>
      </c>
      <c r="I928">
        <f>1.2*4/H928</f>
        <v>8.8577994481175731E-2</v>
      </c>
      <c r="J928">
        <f>4*8/2/H928</f>
        <v>0.29525998160391909</v>
      </c>
      <c r="K928">
        <f>8*8/2/H928</f>
        <v>0.59051996320783817</v>
      </c>
      <c r="L928">
        <f>6*3.5/2/H928</f>
        <v>0.1937643629275719</v>
      </c>
      <c r="M928">
        <f>5*7/2/H928</f>
        <v>0.3229406048792865</v>
      </c>
      <c r="N928">
        <f>(H928-5*4.5/2)/H928</f>
        <v>0.79239532543474434</v>
      </c>
      <c r="O928">
        <f>6.5*5.5/2/H928</f>
        <v>0.32986076069812836</v>
      </c>
      <c r="P928">
        <f>1.2/H928</f>
        <v>2.2144498620293933E-2</v>
      </c>
    </row>
    <row r="929" spans="1:16" x14ac:dyDescent="0.25">
      <c r="A929" t="s">
        <v>467</v>
      </c>
      <c r="B929" s="5">
        <v>42.57</v>
      </c>
      <c r="C929" s="5">
        <v>-72.290999999999997</v>
      </c>
      <c r="D929" t="s">
        <v>1836</v>
      </c>
      <c r="E929" s="5">
        <v>1</v>
      </c>
      <c r="F929" s="7">
        <v>1</v>
      </c>
      <c r="G929">
        <v>10</v>
      </c>
      <c r="H929" s="5">
        <f t="shared" si="28"/>
        <v>39.25</v>
      </c>
      <c r="I929">
        <v>0</v>
      </c>
      <c r="J929">
        <f>2/H929</f>
        <v>5.0955414012738856E-2</v>
      </c>
      <c r="K929">
        <f>1/H929</f>
        <v>2.5477707006369428E-2</v>
      </c>
      <c r="L929">
        <f>2*6/H929</f>
        <v>0.30573248407643311</v>
      </c>
      <c r="M929">
        <f>2.5/H929</f>
        <v>6.3694267515923567E-2</v>
      </c>
      <c r="N929">
        <v>0</v>
      </c>
      <c r="O929">
        <v>0</v>
      </c>
      <c r="P929">
        <v>0</v>
      </c>
    </row>
    <row r="930" spans="1:16" x14ac:dyDescent="0.25">
      <c r="A930" t="s">
        <v>757</v>
      </c>
      <c r="B930" s="5">
        <v>42.570999999999998</v>
      </c>
      <c r="C930" s="5">
        <v>-77.712999999999994</v>
      </c>
      <c r="D930" t="s">
        <v>1805</v>
      </c>
      <c r="E930" s="5">
        <v>1</v>
      </c>
      <c r="F930" s="7">
        <v>1</v>
      </c>
      <c r="G930">
        <f>22.5/2</f>
        <v>11.25</v>
      </c>
      <c r="H930" s="5">
        <f t="shared" si="28"/>
        <v>49.675781250000007</v>
      </c>
      <c r="I930">
        <v>0</v>
      </c>
      <c r="J930">
        <f>1/H930</f>
        <v>2.0130533930958556E-2</v>
      </c>
      <c r="K930">
        <v>0</v>
      </c>
      <c r="L930">
        <v>0</v>
      </c>
      <c r="M930">
        <f>3/H930</f>
        <v>6.0391601792875671E-2</v>
      </c>
      <c r="N930" s="5">
        <f>2/H930</f>
        <v>4.0261067861917112E-2</v>
      </c>
      <c r="O930" s="5">
        <f>8.5*5/2/H930</f>
        <v>0.42777384603286933</v>
      </c>
      <c r="P930" s="5">
        <f>5/H930</f>
        <v>0.10065266965479278</v>
      </c>
    </row>
    <row r="931" spans="1:16" x14ac:dyDescent="0.25">
      <c r="A931" t="s">
        <v>675</v>
      </c>
      <c r="B931">
        <v>42.579000000000001</v>
      </c>
      <c r="C931">
        <v>-99.983999999999995</v>
      </c>
      <c r="D931" t="s">
        <v>1961</v>
      </c>
      <c r="E931" s="5">
        <v>1</v>
      </c>
      <c r="F931" s="7">
        <v>0</v>
      </c>
      <c r="G931">
        <f>22.3/2</f>
        <v>11.15</v>
      </c>
      <c r="H931" s="5">
        <f t="shared" si="28"/>
        <v>48.796581250000003</v>
      </c>
      <c r="I931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</row>
    <row r="932" spans="1:16" x14ac:dyDescent="0.25">
      <c r="A932" t="s">
        <v>1182</v>
      </c>
      <c r="B932">
        <v>42.584000000000003</v>
      </c>
      <c r="C932">
        <v>-110.108</v>
      </c>
      <c r="D932" t="s">
        <v>2116</v>
      </c>
      <c r="E932" s="5">
        <v>1</v>
      </c>
      <c r="F932" s="7">
        <v>0</v>
      </c>
      <c r="G932">
        <f>23.2/2</f>
        <v>11.6</v>
      </c>
      <c r="H932" s="5">
        <f t="shared" si="28"/>
        <v>52.814799999999998</v>
      </c>
      <c r="I932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</row>
    <row r="933" spans="1:16" x14ac:dyDescent="0.25">
      <c r="A933" t="s">
        <v>468</v>
      </c>
      <c r="B933" s="5">
        <v>42.584000000000003</v>
      </c>
      <c r="C933" s="5">
        <v>-70.918000000000006</v>
      </c>
      <c r="D933" t="s">
        <v>1839</v>
      </c>
      <c r="E933" s="5">
        <v>1</v>
      </c>
      <c r="F933" s="7">
        <v>1</v>
      </c>
      <c r="G933">
        <v>12</v>
      </c>
      <c r="H933" s="5">
        <f t="shared" si="28"/>
        <v>56.519999999999996</v>
      </c>
      <c r="I933">
        <f>6*3.5/2/H933</f>
        <v>0.18577494692144375</v>
      </c>
      <c r="J933">
        <f>7*4/2/H933</f>
        <v>0.24769992922859166</v>
      </c>
      <c r="K933">
        <f>4.5*2.5/H933</f>
        <v>0.19904458598726116</v>
      </c>
      <c r="L933">
        <f>3/H933</f>
        <v>5.3078556263269641E-2</v>
      </c>
      <c r="M933">
        <f>(H933-8.5*9.5/2)/H933</f>
        <v>0.28565109695682939</v>
      </c>
      <c r="N933">
        <v>0</v>
      </c>
      <c r="O933">
        <f>3*5/H933</f>
        <v>0.26539278131634819</v>
      </c>
      <c r="P933">
        <f>1.5/H933</f>
        <v>2.6539278131634821E-2</v>
      </c>
    </row>
    <row r="934" spans="1:16" x14ac:dyDescent="0.25">
      <c r="A934" t="s">
        <v>1149</v>
      </c>
      <c r="B934">
        <v>42.594999999999999</v>
      </c>
      <c r="C934">
        <v>-87.938000000000002</v>
      </c>
      <c r="D934" t="s">
        <v>2073</v>
      </c>
      <c r="E934" s="5">
        <v>1</v>
      </c>
      <c r="F934" s="7">
        <v>1</v>
      </c>
      <c r="G934">
        <v>11</v>
      </c>
      <c r="H934" s="5">
        <f t="shared" si="28"/>
        <v>47.4925</v>
      </c>
      <c r="I934">
        <v>0</v>
      </c>
      <c r="J934">
        <v>0</v>
      </c>
      <c r="K934">
        <v>0</v>
      </c>
      <c r="L934">
        <f>6/H934</f>
        <v>0.12633573722166658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t="s">
        <v>515</v>
      </c>
      <c r="B935" s="5">
        <v>42.613</v>
      </c>
      <c r="C935" s="5">
        <v>-82.831999999999994</v>
      </c>
      <c r="D935" t="s">
        <v>1925</v>
      </c>
      <c r="E935" s="5">
        <v>1</v>
      </c>
      <c r="F935" s="7">
        <v>0</v>
      </c>
      <c r="G935">
        <f>21.4/2</f>
        <v>10.7</v>
      </c>
      <c r="H935" s="5">
        <f t="shared" si="28"/>
        <v>44.937324999999994</v>
      </c>
      <c r="I935">
        <v>0</v>
      </c>
      <c r="J935" s="5">
        <v>0</v>
      </c>
      <c r="K935" s="5">
        <v>0</v>
      </c>
      <c r="L935" s="5">
        <f>0.7/H935</f>
        <v>1.5577251204872565E-2</v>
      </c>
      <c r="M935" s="5">
        <v>0</v>
      </c>
      <c r="N935" s="5">
        <v>0</v>
      </c>
      <c r="O935" s="5">
        <v>0</v>
      </c>
      <c r="P935" s="5">
        <v>0</v>
      </c>
    </row>
    <row r="936" spans="1:16" x14ac:dyDescent="0.25">
      <c r="A936" t="s">
        <v>851</v>
      </c>
      <c r="B936" s="5">
        <v>42.616999999999997</v>
      </c>
      <c r="C936" s="5">
        <v>-123.381</v>
      </c>
      <c r="D936" s="5" t="s">
        <v>2013</v>
      </c>
      <c r="E936" s="5">
        <v>1</v>
      </c>
      <c r="F936" s="7">
        <v>0</v>
      </c>
      <c r="G936">
        <f>25.2/2</f>
        <v>12.6</v>
      </c>
      <c r="H936" s="5">
        <f t="shared" si="28"/>
        <v>62.313299999999998</v>
      </c>
      <c r="I936">
        <v>0</v>
      </c>
      <c r="J936">
        <f>2.5/H936</f>
        <v>4.0119846003983099E-2</v>
      </c>
      <c r="K936">
        <f>2/H936</f>
        <v>3.2095876803186478E-2</v>
      </c>
      <c r="L936">
        <f>11/H936</f>
        <v>0.17652732241752564</v>
      </c>
      <c r="M936">
        <v>0</v>
      </c>
      <c r="N936" s="5">
        <v>0</v>
      </c>
      <c r="O936" s="5">
        <v>0</v>
      </c>
      <c r="P936" s="5">
        <v>0</v>
      </c>
    </row>
    <row r="937" spans="1:16" x14ac:dyDescent="0.25">
      <c r="A937" t="s">
        <v>777</v>
      </c>
      <c r="B937" s="5">
        <v>42.643000000000001</v>
      </c>
      <c r="C937" s="5">
        <v>-77.055999999999997</v>
      </c>
      <c r="D937" t="s">
        <v>1872</v>
      </c>
      <c r="E937" s="5">
        <v>1</v>
      </c>
      <c r="F937" s="7">
        <v>1</v>
      </c>
      <c r="G937">
        <f>23/2</f>
        <v>11.5</v>
      </c>
      <c r="H937" s="5">
        <f t="shared" si="28"/>
        <v>51.908124999999998</v>
      </c>
      <c r="I937">
        <f>7.5*9/2/H937</f>
        <v>0.65018722984118582</v>
      </c>
      <c r="J937">
        <f>4*4.5/2/H937</f>
        <v>0.17338326129098286</v>
      </c>
      <c r="K937">
        <f>6*2/H937</f>
        <v>0.23117768172131051</v>
      </c>
      <c r="L937">
        <f>4/H937</f>
        <v>7.7059227240436831E-2</v>
      </c>
      <c r="M937">
        <f>0.5/H937</f>
        <v>9.6324034050546039E-3</v>
      </c>
      <c r="N937" s="5">
        <f>2.5/H937</f>
        <v>4.8162017025273021E-2</v>
      </c>
      <c r="O937" s="5">
        <f>5*3.5/2/H937</f>
        <v>0.16856705958845558</v>
      </c>
      <c r="P937" s="5">
        <f>8.5*4/2/H937</f>
        <v>0.32750171577185655</v>
      </c>
    </row>
    <row r="938" spans="1:16" x14ac:dyDescent="0.25">
      <c r="A938" t="s">
        <v>529</v>
      </c>
      <c r="B938" s="5">
        <v>42.664999999999999</v>
      </c>
      <c r="C938" s="5">
        <v>-83.418000000000006</v>
      </c>
      <c r="D938" t="s">
        <v>2044</v>
      </c>
      <c r="E938" s="5">
        <v>1</v>
      </c>
      <c r="F938" s="7">
        <v>1</v>
      </c>
      <c r="G938">
        <f>22.7/2</f>
        <v>11.35</v>
      </c>
      <c r="H938" s="5">
        <f t="shared" si="28"/>
        <v>50.562831250000002</v>
      </c>
      <c r="I938">
        <v>0</v>
      </c>
      <c r="J938">
        <v>0</v>
      </c>
      <c r="K938">
        <f>5.5*5.5/2/H938</f>
        <v>0.29913277453188503</v>
      </c>
      <c r="L938">
        <f>1.6/H938</f>
        <v>3.1643797636430812E-2</v>
      </c>
      <c r="M938">
        <f>2.5*3.5/2/H938</f>
        <v>8.6526009162115503E-2</v>
      </c>
      <c r="N938">
        <f>3*3/2/H938</f>
        <v>8.8998180852461653E-2</v>
      </c>
      <c r="O938">
        <v>0</v>
      </c>
      <c r="P938">
        <v>0</v>
      </c>
    </row>
    <row r="939" spans="1:16" x14ac:dyDescent="0.25">
      <c r="A939" t="s">
        <v>466</v>
      </c>
      <c r="B939" s="5">
        <v>42.695999999999998</v>
      </c>
      <c r="C939" s="5">
        <v>-73.171000000000006</v>
      </c>
      <c r="D939" s="5" t="s">
        <v>1832</v>
      </c>
      <c r="E939" s="5">
        <v>1</v>
      </c>
      <c r="F939" s="7">
        <v>1</v>
      </c>
      <c r="G939">
        <v>11</v>
      </c>
      <c r="H939" s="5">
        <f t="shared" si="28"/>
        <v>47.4925</v>
      </c>
      <c r="I939">
        <f>(H939-2.3*3/2)/H939</f>
        <v>0.92735695109754168</v>
      </c>
      <c r="J939">
        <f>(H939-4.5)/H939</f>
        <v>0.90524819708375004</v>
      </c>
      <c r="K939">
        <f>7*5/2/H939</f>
        <v>0.36847923356319418</v>
      </c>
      <c r="L939">
        <f>8.5*6/2/H939</f>
        <v>0.53692688319208293</v>
      </c>
      <c r="M939">
        <f>4/H939</f>
        <v>8.422382481444439E-2</v>
      </c>
      <c r="N939">
        <f>7*4/2/H939</f>
        <v>0.29478338685055533</v>
      </c>
      <c r="O939">
        <f>3*3/2/H939</f>
        <v>9.4751802916249933E-2</v>
      </c>
      <c r="P939">
        <f>8*3.5/2/H939</f>
        <v>0.29478338685055533</v>
      </c>
    </row>
    <row r="940" spans="1:16" x14ac:dyDescent="0.25">
      <c r="A940" t="s">
        <v>475</v>
      </c>
      <c r="B940" s="5">
        <v>42.716999999999999</v>
      </c>
      <c r="C940" s="5">
        <v>-71.123999999999995</v>
      </c>
      <c r="D940" s="5" t="s">
        <v>2237</v>
      </c>
      <c r="E940" s="5">
        <v>1</v>
      </c>
      <c r="F940" s="7">
        <v>1</v>
      </c>
      <c r="G940">
        <v>11</v>
      </c>
      <c r="H940" s="5">
        <f t="shared" si="28"/>
        <v>47.4925</v>
      </c>
      <c r="I940">
        <f>4.5*3.5/H940</f>
        <v>0.33163131020687475</v>
      </c>
      <c r="J940">
        <v>0</v>
      </c>
      <c r="K940">
        <f>3*3/H940</f>
        <v>0.18950360583249987</v>
      </c>
      <c r="L940">
        <f>(H940-3.5*5.5/2)/H940</f>
        <v>0.7973364215402432</v>
      </c>
      <c r="M940">
        <f>(H940-5*4/2)/H940</f>
        <v>0.78944043796388907</v>
      </c>
      <c r="N940">
        <f>2.5*7/2/H940</f>
        <v>0.18423961678159709</v>
      </c>
      <c r="O940">
        <f>5*7.5/2/H940</f>
        <v>0.39479917881770804</v>
      </c>
      <c r="P940">
        <f>(H940-5*6/2)/H940</f>
        <v>0.6841606569458335</v>
      </c>
    </row>
    <row r="941" spans="1:16" x14ac:dyDescent="0.25">
      <c r="A941" t="s">
        <v>375</v>
      </c>
      <c r="B941">
        <v>42.726999999999997</v>
      </c>
      <c r="C941">
        <v>-114.456</v>
      </c>
      <c r="D941" t="s">
        <v>2126</v>
      </c>
      <c r="E941" s="5">
        <v>1</v>
      </c>
      <c r="F941" s="7">
        <v>1</v>
      </c>
      <c r="G941">
        <f>22.5/2</f>
        <v>11.25</v>
      </c>
      <c r="H941" s="5">
        <f t="shared" si="28"/>
        <v>49.675781250000007</v>
      </c>
      <c r="I941">
        <v>0</v>
      </c>
      <c r="J941">
        <v>0</v>
      </c>
      <c r="K941">
        <v>0</v>
      </c>
      <c r="L941">
        <f>0.5/H941</f>
        <v>1.0065266965479278E-2</v>
      </c>
      <c r="M941" s="5">
        <f>2/H941</f>
        <v>4.0261067861917112E-2</v>
      </c>
      <c r="N941" s="5">
        <f>7/H941</f>
        <v>0.14091373751670991</v>
      </c>
      <c r="O941" s="5">
        <v>0</v>
      </c>
      <c r="P941" s="5">
        <v>0</v>
      </c>
    </row>
    <row r="942" spans="1:16" x14ac:dyDescent="0.25">
      <c r="A942" t="s">
        <v>519</v>
      </c>
      <c r="B942" s="5">
        <v>42.746000000000002</v>
      </c>
      <c r="C942" s="5">
        <v>-86.096999999999994</v>
      </c>
      <c r="D942" t="s">
        <v>1929</v>
      </c>
      <c r="E942" s="5">
        <v>1</v>
      </c>
      <c r="F942" s="7">
        <v>1</v>
      </c>
      <c r="G942">
        <f>22.5/2</f>
        <v>11.25</v>
      </c>
      <c r="H942" s="5">
        <f t="shared" si="28"/>
        <v>49.675781250000007</v>
      </c>
      <c r="I942">
        <f>3*5/2/H942</f>
        <v>0.15097900448218918</v>
      </c>
      <c r="J942">
        <f>(H942-5*6/2)/H942</f>
        <v>0.6980419910356217</v>
      </c>
      <c r="K942">
        <f>5*2.5/2/H942</f>
        <v>0.12581583706849098</v>
      </c>
      <c r="L942">
        <v>0</v>
      </c>
      <c r="M942">
        <v>0</v>
      </c>
      <c r="N942">
        <v>0</v>
      </c>
      <c r="O942">
        <v>0</v>
      </c>
      <c r="P942">
        <f>5.5*3.5/2/H942</f>
        <v>0.1937563890854761</v>
      </c>
    </row>
    <row r="943" spans="1:16" x14ac:dyDescent="0.25">
      <c r="A943" t="s">
        <v>773</v>
      </c>
      <c r="B943">
        <v>42.747999999999998</v>
      </c>
      <c r="C943">
        <v>-73.802999999999997</v>
      </c>
      <c r="D943" t="s">
        <v>1868</v>
      </c>
      <c r="E943" s="5">
        <v>1</v>
      </c>
      <c r="F943" s="7">
        <v>0</v>
      </c>
      <c r="G943">
        <f>19.5/2</f>
        <v>9.75</v>
      </c>
      <c r="H943" s="5">
        <f t="shared" si="28"/>
        <v>37.312031250000004</v>
      </c>
      <c r="I943">
        <f>0.5/H943</f>
        <v>1.3400503356407323E-2</v>
      </c>
      <c r="J943">
        <f>0.8/H943</f>
        <v>2.1440805370251718E-2</v>
      </c>
      <c r="K943">
        <v>0</v>
      </c>
      <c r="L943" s="5">
        <f>1/H943</f>
        <v>2.6801006712814646E-2</v>
      </c>
      <c r="M943" s="5">
        <v>0</v>
      </c>
      <c r="N943" s="5">
        <v>0</v>
      </c>
      <c r="O943" s="5">
        <v>0</v>
      </c>
      <c r="P943" s="5">
        <v>0</v>
      </c>
    </row>
    <row r="944" spans="1:16" x14ac:dyDescent="0.25">
      <c r="A944" t="s">
        <v>1134</v>
      </c>
      <c r="B944">
        <v>42.761000000000003</v>
      </c>
      <c r="C944">
        <v>-87.813999999999993</v>
      </c>
      <c r="D944" t="s">
        <v>2057</v>
      </c>
      <c r="E944" s="5">
        <v>1</v>
      </c>
      <c r="F944" s="7">
        <v>1</v>
      </c>
      <c r="G944">
        <f>18.7/2</f>
        <v>9.35</v>
      </c>
      <c r="H944" s="5">
        <f t="shared" si="28"/>
        <v>34.313331249999997</v>
      </c>
      <c r="I944">
        <f>7*2.5/2/H944</f>
        <v>0.25500292980151851</v>
      </c>
      <c r="J944">
        <f>1/H944</f>
        <v>2.91431919773164E-2</v>
      </c>
      <c r="K944">
        <f>3/H944</f>
        <v>8.7429575931949194E-2</v>
      </c>
      <c r="L944">
        <f>0.5/H944</f>
        <v>1.45715959886582E-2</v>
      </c>
      <c r="M944" s="5">
        <v>0</v>
      </c>
      <c r="N944" s="5">
        <v>0</v>
      </c>
      <c r="O944" s="5">
        <v>0</v>
      </c>
      <c r="P944" s="5">
        <f>1/H944</f>
        <v>2.91431919773164E-2</v>
      </c>
    </row>
    <row r="945" spans="1:16" x14ac:dyDescent="0.25">
      <c r="A945" t="s">
        <v>518</v>
      </c>
      <c r="B945">
        <v>42.78</v>
      </c>
      <c r="C945">
        <v>-84.578999999999994</v>
      </c>
      <c r="D945" t="s">
        <v>1928</v>
      </c>
      <c r="E945" s="5">
        <v>1</v>
      </c>
      <c r="F945" s="7">
        <v>1</v>
      </c>
      <c r="G945">
        <v>10</v>
      </c>
      <c r="H945" s="5">
        <f t="shared" si="28"/>
        <v>39.25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</row>
    <row r="946" spans="1:16" x14ac:dyDescent="0.25">
      <c r="A946" t="s">
        <v>694</v>
      </c>
      <c r="B946" s="5">
        <v>42.781999999999996</v>
      </c>
      <c r="C946" s="5">
        <v>-71.515000000000001</v>
      </c>
      <c r="D946" t="s">
        <v>2230</v>
      </c>
      <c r="E946" s="5">
        <v>1</v>
      </c>
      <c r="F946" s="7">
        <v>1</v>
      </c>
      <c r="G946">
        <v>10.5</v>
      </c>
      <c r="H946" s="5">
        <f t="shared" si="28"/>
        <v>43.273125</v>
      </c>
      <c r="I946">
        <f>8*3/2/H946</f>
        <v>0.2773083755795312</v>
      </c>
      <c r="J946">
        <f>7*8/2/H946</f>
        <v>0.6470528763522394</v>
      </c>
      <c r="K946">
        <v>0</v>
      </c>
      <c r="L946">
        <f>5.5*8.5/2/H946</f>
        <v>0.54017360659762848</v>
      </c>
      <c r="M946">
        <f>(H946-3*3/2)/H946</f>
        <v>0.89600935915767577</v>
      </c>
      <c r="N946">
        <f>(H946-1.5)/H946</f>
        <v>0.96533645305255855</v>
      </c>
      <c r="O946">
        <f>(H946-5.5*5/2)/H946</f>
        <v>0.68225081964845391</v>
      </c>
      <c r="P946">
        <f>1.5/H946</f>
        <v>3.46635469474414E-2</v>
      </c>
    </row>
    <row r="947" spans="1:16" x14ac:dyDescent="0.25">
      <c r="A947" t="s">
        <v>1166</v>
      </c>
      <c r="B947">
        <v>42.796999999999997</v>
      </c>
      <c r="C947">
        <v>-105.386</v>
      </c>
      <c r="D947" t="s">
        <v>1974</v>
      </c>
      <c r="E947" s="5">
        <v>1</v>
      </c>
      <c r="F947" s="7">
        <v>0</v>
      </c>
      <c r="G947">
        <v>10.5</v>
      </c>
      <c r="H947" s="5">
        <f t="shared" si="28"/>
        <v>43.273125</v>
      </c>
      <c r="I947">
        <f>3/H947</f>
        <v>6.9327093894882799E-2</v>
      </c>
      <c r="J947">
        <f>2.5/H947</f>
        <v>5.7772578245735659E-2</v>
      </c>
      <c r="K947">
        <v>0</v>
      </c>
      <c r="L947">
        <v>0</v>
      </c>
      <c r="M947">
        <f>6/H947</f>
        <v>0.1386541877897656</v>
      </c>
      <c r="N947">
        <v>0</v>
      </c>
      <c r="O947">
        <v>0</v>
      </c>
      <c r="P947">
        <v>0</v>
      </c>
    </row>
    <row r="948" spans="1:16" x14ac:dyDescent="0.25">
      <c r="A948" t="s">
        <v>691</v>
      </c>
      <c r="B948" s="5">
        <v>42.805</v>
      </c>
      <c r="C948" s="5">
        <v>-72.004000000000005</v>
      </c>
      <c r="D948" s="5" t="s">
        <v>2026</v>
      </c>
      <c r="E948" s="5">
        <v>1</v>
      </c>
      <c r="F948" s="7">
        <v>0</v>
      </c>
      <c r="G948">
        <f>22.8/2</f>
        <v>11.4</v>
      </c>
      <c r="H948" s="5">
        <f t="shared" si="28"/>
        <v>51.009300000000003</v>
      </c>
      <c r="I948">
        <f>6*5/2/H948</f>
        <v>0.29406402361922235</v>
      </c>
      <c r="J948">
        <f>7*7.5/2/H948</f>
        <v>0.51461204133363914</v>
      </c>
      <c r="K948">
        <f>5.5*8/2/H948</f>
        <v>0.43129390130819278</v>
      </c>
      <c r="L948">
        <f>4*3/2/H948</f>
        <v>0.11762560944768895</v>
      </c>
      <c r="M948">
        <f>4*5/2/H948</f>
        <v>0.19604268241281492</v>
      </c>
      <c r="N948">
        <f>9.5*6.5/2/H948</f>
        <v>0.60528178194956606</v>
      </c>
      <c r="O948">
        <f>7*8/2/H948</f>
        <v>0.54891951075588175</v>
      </c>
      <c r="P948">
        <f>4*3.5/2/H948</f>
        <v>0.13722987768897044</v>
      </c>
    </row>
    <row r="949" spans="1:16" x14ac:dyDescent="0.25">
      <c r="A949" t="s">
        <v>1172</v>
      </c>
      <c r="B949" s="5">
        <v>42.817</v>
      </c>
      <c r="C949" s="5">
        <v>-108.733</v>
      </c>
      <c r="D949" s="5" t="s">
        <v>1984</v>
      </c>
      <c r="E949" s="5">
        <v>1</v>
      </c>
      <c r="F949" s="7">
        <v>1</v>
      </c>
      <c r="G949">
        <v>10</v>
      </c>
      <c r="H949" s="5">
        <f t="shared" si="28"/>
        <v>39.25</v>
      </c>
      <c r="I949">
        <f>1.4*4/H949</f>
        <v>0.14267515923566879</v>
      </c>
      <c r="J949">
        <v>0</v>
      </c>
      <c r="K949">
        <v>0</v>
      </c>
      <c r="L949">
        <v>0</v>
      </c>
      <c r="M949" s="5">
        <f>0.3/H949</f>
        <v>7.6433121019108281E-3</v>
      </c>
      <c r="N949" s="5">
        <v>0</v>
      </c>
      <c r="O949" s="5">
        <f>2.4/H949</f>
        <v>6.1146496815286625E-2</v>
      </c>
      <c r="P949" s="5">
        <f>2/H949</f>
        <v>5.0955414012738856E-2</v>
      </c>
    </row>
    <row r="950" spans="1:16" x14ac:dyDescent="0.25">
      <c r="A950" t="s">
        <v>683</v>
      </c>
      <c r="B950">
        <v>42.838000000000001</v>
      </c>
      <c r="C950">
        <v>-103.095</v>
      </c>
      <c r="D950" t="s">
        <v>1969</v>
      </c>
      <c r="E950" s="5">
        <v>1</v>
      </c>
      <c r="F950" s="7">
        <v>1</v>
      </c>
      <c r="G950">
        <f>23/2</f>
        <v>11.5</v>
      </c>
      <c r="H950" s="5">
        <f t="shared" si="28"/>
        <v>51.908124999999998</v>
      </c>
      <c r="I950">
        <f>3.2/H950</f>
        <v>6.1647381792349472E-2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f>(H950-7*9/2)/H950</f>
        <v>0.39315858548155996</v>
      </c>
    </row>
    <row r="951" spans="1:16" x14ac:dyDescent="0.25">
      <c r="A951" t="s">
        <v>524</v>
      </c>
      <c r="B951" s="5">
        <v>42.881999999999998</v>
      </c>
      <c r="C951" s="5">
        <v>-85.522999999999996</v>
      </c>
      <c r="D951" s="5" t="s">
        <v>2039</v>
      </c>
      <c r="E951" s="5">
        <v>1</v>
      </c>
      <c r="F951" s="7">
        <v>1</v>
      </c>
      <c r="G951">
        <v>11</v>
      </c>
      <c r="H951" s="5">
        <f t="shared" si="28"/>
        <v>47.4925</v>
      </c>
      <c r="I951">
        <f>1.5/H951</f>
        <v>3.1583934305416644E-2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x14ac:dyDescent="0.25">
      <c r="A952" t="s">
        <v>1089</v>
      </c>
      <c r="B952" s="5">
        <v>42.890999999999998</v>
      </c>
      <c r="C952" s="5">
        <v>-73.247</v>
      </c>
      <c r="D952" s="5" t="s">
        <v>2028</v>
      </c>
      <c r="E952">
        <v>1</v>
      </c>
      <c r="F952" s="7">
        <v>1</v>
      </c>
      <c r="G952">
        <v>11</v>
      </c>
      <c r="H952" s="5">
        <f t="shared" si="28"/>
        <v>47.4925</v>
      </c>
      <c r="I952">
        <f>5/H952</f>
        <v>0.10527978101805548</v>
      </c>
      <c r="J952">
        <f>(H952-4*5/2)/H952</f>
        <v>0.78944043796388907</v>
      </c>
      <c r="K952">
        <f>(H952-6.5*3/2)/H952</f>
        <v>0.79470442701479183</v>
      </c>
      <c r="L952">
        <f>0.6/H952</f>
        <v>1.2633573722166657E-2</v>
      </c>
      <c r="M952">
        <f>7/H952</f>
        <v>0.14739169342527766</v>
      </c>
      <c r="N952">
        <f>6*6.5/2/H952</f>
        <v>0.4105911459704164</v>
      </c>
      <c r="O952">
        <f>4.5*8/2/H952</f>
        <v>0.37900721166499973</v>
      </c>
      <c r="P952">
        <f>(H952-9.5*6.5/2)/H952</f>
        <v>0.34989735221350737</v>
      </c>
    </row>
    <row r="953" spans="1:16" x14ac:dyDescent="0.25">
      <c r="A953" t="s">
        <v>1167</v>
      </c>
      <c r="B953" s="5">
        <v>42.898000000000003</v>
      </c>
      <c r="C953" s="5">
        <v>-106.473</v>
      </c>
      <c r="D953" s="5" t="s">
        <v>1975</v>
      </c>
      <c r="E953">
        <v>1</v>
      </c>
      <c r="F953" s="7">
        <v>1</v>
      </c>
      <c r="G953">
        <v>11</v>
      </c>
      <c r="H953" s="5">
        <f t="shared" si="28"/>
        <v>47.4925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16" x14ac:dyDescent="0.25">
      <c r="A954" t="s">
        <v>933</v>
      </c>
      <c r="B954">
        <v>42.917000000000002</v>
      </c>
      <c r="C954">
        <v>-97.382999999999996</v>
      </c>
      <c r="D954" t="s">
        <v>2083</v>
      </c>
      <c r="E954">
        <v>1</v>
      </c>
      <c r="F954" s="7">
        <v>0</v>
      </c>
      <c r="G954">
        <f>24.8/2</f>
        <v>12.4</v>
      </c>
      <c r="H954" s="5">
        <f t="shared" si="28"/>
        <v>60.3508</v>
      </c>
      <c r="I954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</row>
    <row r="955" spans="1:16" x14ac:dyDescent="0.25">
      <c r="A955" t="s">
        <v>366</v>
      </c>
      <c r="B955" s="5">
        <v>42.92</v>
      </c>
      <c r="C955" s="5">
        <v>-112.571</v>
      </c>
      <c r="D955" s="5" t="s">
        <v>1988</v>
      </c>
      <c r="E955" s="5">
        <v>1</v>
      </c>
      <c r="F955" s="7">
        <v>1</v>
      </c>
      <c r="G955">
        <f>19.4/2</f>
        <v>9.6999999999999993</v>
      </c>
      <c r="H955" s="5">
        <f t="shared" si="28"/>
        <v>36.930324999999996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x14ac:dyDescent="0.25">
      <c r="A956" t="s">
        <v>693</v>
      </c>
      <c r="B956">
        <v>42.933</v>
      </c>
      <c r="C956">
        <v>-71.438000000000002</v>
      </c>
      <c r="D956" t="s">
        <v>2229</v>
      </c>
      <c r="E956" s="5">
        <v>1</v>
      </c>
      <c r="F956" s="7">
        <v>1</v>
      </c>
      <c r="G956">
        <f>23.3/2</f>
        <v>11.65</v>
      </c>
      <c r="H956" s="5">
        <f t="shared" ref="H956:H1018" si="29">3.14*G956*G956/8</f>
        <v>53.271081250000009</v>
      </c>
      <c r="I956">
        <v>0</v>
      </c>
      <c r="J956" s="5">
        <v>0</v>
      </c>
      <c r="K956" s="5">
        <v>0</v>
      </c>
      <c r="L956" s="5">
        <v>0</v>
      </c>
      <c r="M956" s="5">
        <v>0</v>
      </c>
      <c r="N956" s="5">
        <f>3*4.5/H956</f>
        <v>0.25342079948865309</v>
      </c>
      <c r="O956" s="5">
        <f>3*4.2/H956</f>
        <v>0.23652607952274293</v>
      </c>
      <c r="P956" s="5">
        <f>1.2*2.2/H956</f>
        <v>4.955784523333661E-2</v>
      </c>
    </row>
    <row r="957" spans="1:16" x14ac:dyDescent="0.25">
      <c r="A957" t="s">
        <v>781</v>
      </c>
      <c r="B957">
        <v>42.941000000000003</v>
      </c>
      <c r="C957">
        <v>-78.736000000000004</v>
      </c>
      <c r="D957" t="s">
        <v>1897</v>
      </c>
      <c r="E957" s="5">
        <v>1</v>
      </c>
      <c r="F957" s="7">
        <v>1</v>
      </c>
      <c r="G957">
        <v>11</v>
      </c>
      <c r="H957" s="5">
        <f t="shared" si="29"/>
        <v>47.4925</v>
      </c>
      <c r="I957">
        <v>0</v>
      </c>
      <c r="J957">
        <v>0</v>
      </c>
      <c r="K957">
        <v>0</v>
      </c>
      <c r="L957">
        <v>0</v>
      </c>
      <c r="M957">
        <v>0</v>
      </c>
      <c r="N957">
        <f>2/H957</f>
        <v>4.2111912407222195E-2</v>
      </c>
      <c r="O957">
        <f>1.5/H957</f>
        <v>3.1583934305416644E-2</v>
      </c>
      <c r="P957">
        <f>1.5/H957</f>
        <v>3.1583934305416644E-2</v>
      </c>
    </row>
    <row r="958" spans="1:16" x14ac:dyDescent="0.25">
      <c r="A958" t="s">
        <v>1129</v>
      </c>
      <c r="B958">
        <v>42.947000000000003</v>
      </c>
      <c r="C958">
        <v>-87.897000000000006</v>
      </c>
      <c r="D958" t="s">
        <v>2052</v>
      </c>
      <c r="E958" s="5">
        <v>1</v>
      </c>
      <c r="F958" s="7">
        <v>1</v>
      </c>
      <c r="G958">
        <f>23.5/2</f>
        <v>11.75</v>
      </c>
      <c r="H958" s="5">
        <f t="shared" si="29"/>
        <v>54.189531250000002</v>
      </c>
      <c r="I958">
        <v>0</v>
      </c>
      <c r="J958">
        <v>0</v>
      </c>
      <c r="K958">
        <v>0</v>
      </c>
      <c r="L958">
        <v>0</v>
      </c>
      <c r="M958">
        <f>2.5/H958</f>
        <v>4.6134372125612361E-2</v>
      </c>
      <c r="N958">
        <f>1.5/H958</f>
        <v>2.7680623275367418E-2</v>
      </c>
      <c r="O958">
        <f>3*2/H958</f>
        <v>0.11072249310146967</v>
      </c>
      <c r="P958">
        <f>2*3.5/H958</f>
        <v>0.12917624195171462</v>
      </c>
    </row>
    <row r="959" spans="1:16" x14ac:dyDescent="0.25">
      <c r="A959" t="s">
        <v>528</v>
      </c>
      <c r="B959" s="5">
        <v>42.966999999999999</v>
      </c>
      <c r="C959" s="5">
        <v>-83.748999999999995</v>
      </c>
      <c r="D959" t="s">
        <v>2043</v>
      </c>
      <c r="E959" s="5">
        <v>1</v>
      </c>
      <c r="F959" s="7">
        <v>1</v>
      </c>
      <c r="G959">
        <v>12</v>
      </c>
      <c r="H959" s="5">
        <f t="shared" si="29"/>
        <v>56.519999999999996</v>
      </c>
      <c r="I959">
        <v>0</v>
      </c>
      <c r="J959">
        <v>0</v>
      </c>
      <c r="K959">
        <v>0</v>
      </c>
      <c r="L959">
        <v>0</v>
      </c>
      <c r="M959">
        <f>2.5/H959</f>
        <v>4.4232130219391368E-2</v>
      </c>
      <c r="N959">
        <f>(H959-7.5*10/2)/H959</f>
        <v>0.33651804670912949</v>
      </c>
      <c r="O959">
        <f>4/H959</f>
        <v>7.0771408351026188E-2</v>
      </c>
      <c r="P959">
        <v>0</v>
      </c>
    </row>
    <row r="960" spans="1:16" x14ac:dyDescent="0.25">
      <c r="A960" t="s">
        <v>930</v>
      </c>
      <c r="B960" s="5">
        <v>43.021000000000001</v>
      </c>
      <c r="C960" s="5">
        <v>-102.518</v>
      </c>
      <c r="D960" s="5" t="s">
        <v>2080</v>
      </c>
      <c r="E960" s="5">
        <v>1</v>
      </c>
      <c r="F960" s="7">
        <v>1</v>
      </c>
      <c r="G960">
        <f>23/2</f>
        <v>11.5</v>
      </c>
      <c r="H960" s="5">
        <f t="shared" si="29"/>
        <v>51.908124999999998</v>
      </c>
      <c r="I960">
        <f>9.5*3/2/H960</f>
        <v>0.27452349704405621</v>
      </c>
      <c r="J960">
        <f>6*3.5/2/H960</f>
        <v>0.2022804715061467</v>
      </c>
      <c r="K960">
        <f>1/H960</f>
        <v>1.9264806810109208E-2</v>
      </c>
      <c r="L960">
        <f>1/H960</f>
        <v>1.9264806810109208E-2</v>
      </c>
      <c r="M960">
        <f>1.5/H960</f>
        <v>2.8897210215163813E-2</v>
      </c>
      <c r="N960">
        <v>0</v>
      </c>
      <c r="O960">
        <v>0</v>
      </c>
      <c r="P960">
        <f>0.4/H960</f>
        <v>7.705922724043684E-3</v>
      </c>
    </row>
    <row r="961" spans="1:16" x14ac:dyDescent="0.25">
      <c r="A961" t="s">
        <v>374</v>
      </c>
      <c r="B961">
        <v>43.043999999999997</v>
      </c>
      <c r="C961">
        <v>-115.873</v>
      </c>
      <c r="D961" t="s">
        <v>2125</v>
      </c>
      <c r="E961" s="5">
        <v>1</v>
      </c>
      <c r="F961" s="7">
        <v>0</v>
      </c>
      <c r="G961">
        <f>21.8/2</f>
        <v>10.9</v>
      </c>
      <c r="H961" s="5">
        <f t="shared" si="29"/>
        <v>46.632925</v>
      </c>
      <c r="I961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</row>
    <row r="962" spans="1:16" x14ac:dyDescent="0.25">
      <c r="A962" t="s">
        <v>1174</v>
      </c>
      <c r="B962" s="1">
        <v>43.064</v>
      </c>
      <c r="C962" s="1">
        <v>-108.459</v>
      </c>
      <c r="D962" s="1" t="s">
        <v>1986</v>
      </c>
      <c r="E962" s="5">
        <v>1</v>
      </c>
      <c r="F962" s="7">
        <v>0</v>
      </c>
      <c r="G962">
        <f>22.4/2</f>
        <v>11.2</v>
      </c>
      <c r="H962" s="5">
        <f t="shared" si="29"/>
        <v>49.235199999999999</v>
      </c>
      <c r="I962">
        <v>0</v>
      </c>
      <c r="J962">
        <v>0</v>
      </c>
      <c r="K962">
        <v>0</v>
      </c>
      <c r="L962">
        <v>0</v>
      </c>
      <c r="M962">
        <f>1/H962</f>
        <v>2.0310672039516444E-2</v>
      </c>
      <c r="N962">
        <v>0</v>
      </c>
      <c r="O962" s="5">
        <v>0</v>
      </c>
      <c r="P962" s="5">
        <v>0</v>
      </c>
    </row>
    <row r="963" spans="1:16" x14ac:dyDescent="0.25">
      <c r="A963" t="s">
        <v>1183</v>
      </c>
      <c r="B963" s="1">
        <v>43.067</v>
      </c>
      <c r="C963" s="1">
        <v>-108.467</v>
      </c>
      <c r="D963" s="1" t="s">
        <v>1986</v>
      </c>
      <c r="E963" s="5">
        <v>1</v>
      </c>
      <c r="F963" s="7">
        <v>0</v>
      </c>
      <c r="G963" s="5">
        <f>22.4/2</f>
        <v>11.2</v>
      </c>
      <c r="H963" s="5">
        <f t="shared" ref="H963" si="30">3.14*G963*G963/8</f>
        <v>49.235199999999999</v>
      </c>
      <c r="I963" s="5">
        <v>0</v>
      </c>
      <c r="J963" s="5">
        <v>0</v>
      </c>
      <c r="K963" s="5">
        <v>0</v>
      </c>
      <c r="L963" s="5">
        <v>0</v>
      </c>
      <c r="M963" s="5">
        <f>1/H963</f>
        <v>2.0310672039516444E-2</v>
      </c>
      <c r="N963" s="5">
        <v>0</v>
      </c>
      <c r="O963" s="5">
        <v>0</v>
      </c>
      <c r="P963" s="5">
        <v>0</v>
      </c>
    </row>
    <row r="964" spans="1:16" x14ac:dyDescent="0.25">
      <c r="A964" t="s">
        <v>686</v>
      </c>
      <c r="B964" s="5">
        <v>43.078000000000003</v>
      </c>
      <c r="C964" s="5">
        <v>-70.822999999999993</v>
      </c>
      <c r="D964" s="5" t="s">
        <v>2015</v>
      </c>
      <c r="E964" s="5">
        <v>1</v>
      </c>
      <c r="F964" s="7">
        <v>0</v>
      </c>
      <c r="G964">
        <v>10.5</v>
      </c>
      <c r="H964" s="5">
        <f t="shared" si="29"/>
        <v>43.273125</v>
      </c>
      <c r="I964">
        <v>0</v>
      </c>
      <c r="J964">
        <v>0</v>
      </c>
      <c r="K964">
        <v>0</v>
      </c>
      <c r="L964">
        <v>0</v>
      </c>
      <c r="M964">
        <f>(H964-8*1.5/2)/H964</f>
        <v>0.86134581221023443</v>
      </c>
      <c r="N964">
        <f>7*8.5/2/H964</f>
        <v>0.68749368112425435</v>
      </c>
      <c r="O964">
        <f>7.5*8.5/2/H964</f>
        <v>0.73660037263312972</v>
      </c>
      <c r="P964">
        <f>6*3/2/H964</f>
        <v>0.20798128168464838</v>
      </c>
    </row>
    <row r="965" spans="1:16" x14ac:dyDescent="0.25">
      <c r="A965" t="s">
        <v>782</v>
      </c>
      <c r="B965" s="5">
        <v>43.106999999999999</v>
      </c>
      <c r="C965" s="5">
        <v>-78.944999999999993</v>
      </c>
      <c r="D965" s="5" t="s">
        <v>1898</v>
      </c>
      <c r="E965">
        <v>1</v>
      </c>
      <c r="F965" s="7">
        <v>0</v>
      </c>
      <c r="G965" s="5">
        <f>19/2</f>
        <v>9.5</v>
      </c>
      <c r="H965" s="5">
        <f t="shared" si="29"/>
        <v>35.423124999999999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</row>
    <row r="966" spans="1:16" x14ac:dyDescent="0.25">
      <c r="A966" t="s">
        <v>776</v>
      </c>
      <c r="B966" s="5">
        <v>43.109000000000002</v>
      </c>
      <c r="C966" s="5">
        <v>-76.102999999999994</v>
      </c>
      <c r="D966" s="5" t="s">
        <v>1871</v>
      </c>
      <c r="E966" s="5">
        <v>1</v>
      </c>
      <c r="F966" s="7">
        <v>1</v>
      </c>
      <c r="G966">
        <f>20.3/2</f>
        <v>10.15</v>
      </c>
      <c r="H966" s="5">
        <f t="shared" si="29"/>
        <v>40.436331250000002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x14ac:dyDescent="0.25">
      <c r="A967" t="s">
        <v>783</v>
      </c>
      <c r="B967">
        <v>43.116999999999997</v>
      </c>
      <c r="C967">
        <v>-77.677000000000007</v>
      </c>
      <c r="D967" t="s">
        <v>1899</v>
      </c>
      <c r="E967" s="5">
        <v>1</v>
      </c>
      <c r="F967" s="7">
        <v>1</v>
      </c>
      <c r="G967">
        <f>26.4/2</f>
        <v>13.2</v>
      </c>
      <c r="H967" s="5">
        <f t="shared" si="29"/>
        <v>68.389200000000002</v>
      </c>
      <c r="I967">
        <v>0</v>
      </c>
      <c r="J967">
        <f>1/H967</f>
        <v>1.4622191808063262E-2</v>
      </c>
      <c r="K967">
        <v>0</v>
      </c>
      <c r="L967">
        <f>1/H967</f>
        <v>1.4622191808063262E-2</v>
      </c>
      <c r="M967">
        <f>5/H967</f>
        <v>7.3110959040316309E-2</v>
      </c>
      <c r="N967">
        <v>0</v>
      </c>
      <c r="O967">
        <v>0</v>
      </c>
      <c r="P967">
        <v>0</v>
      </c>
    </row>
    <row r="968" spans="1:16" x14ac:dyDescent="0.25">
      <c r="A968" t="s">
        <v>1131</v>
      </c>
      <c r="B968">
        <v>43.140999999999998</v>
      </c>
      <c r="C968">
        <v>-89.344999999999999</v>
      </c>
      <c r="D968" t="s">
        <v>2054</v>
      </c>
      <c r="E968" s="5">
        <v>1</v>
      </c>
      <c r="F968" s="7">
        <v>1</v>
      </c>
      <c r="G968">
        <v>10.5</v>
      </c>
      <c r="H968" s="5">
        <f t="shared" si="29"/>
        <v>43.273125</v>
      </c>
      <c r="I968">
        <f>1.5/H968</f>
        <v>3.46635469474414E-2</v>
      </c>
      <c r="J968">
        <v>0</v>
      </c>
      <c r="K968">
        <v>0</v>
      </c>
      <c r="L968">
        <v>0</v>
      </c>
      <c r="M968">
        <f>2.5*6.5/2/H968</f>
        <v>0.18776087929864091</v>
      </c>
      <c r="N968">
        <f>6.5*7.8/2/H968</f>
        <v>0.58581394341175952</v>
      </c>
      <c r="O968">
        <f>6.6*8/2/H968</f>
        <v>0.61007842627496855</v>
      </c>
      <c r="P968">
        <f>4.5*4.5/2/H968</f>
        <v>0.23397894189522941</v>
      </c>
    </row>
    <row r="969" spans="1:16" x14ac:dyDescent="0.25">
      <c r="A969" t="s">
        <v>779</v>
      </c>
      <c r="B969" s="5">
        <v>43.145000000000003</v>
      </c>
      <c r="C969" s="5">
        <v>-75.384</v>
      </c>
      <c r="D969" s="5" t="s">
        <v>1874</v>
      </c>
      <c r="E969" s="5">
        <v>1</v>
      </c>
      <c r="F969" s="7">
        <v>0</v>
      </c>
      <c r="G969">
        <f>21.5/2</f>
        <v>10.75</v>
      </c>
      <c r="H969" s="5">
        <f t="shared" si="29"/>
        <v>45.358281250000005</v>
      </c>
      <c r="I969">
        <v>0</v>
      </c>
      <c r="J969">
        <f>0.3/H969</f>
        <v>6.6140072271808131E-3</v>
      </c>
      <c r="K969">
        <v>0</v>
      </c>
      <c r="L969">
        <f>0.7/H969</f>
        <v>1.5432683530088562E-2</v>
      </c>
      <c r="M969">
        <f>4*8/2/H969</f>
        <v>0.35274705211631002</v>
      </c>
      <c r="N969">
        <v>0</v>
      </c>
      <c r="O969">
        <f>2.5*5/H969</f>
        <v>0.2755836344658672</v>
      </c>
      <c r="P969">
        <f>2.5*2.5/H969</f>
        <v>0.1377918172329336</v>
      </c>
    </row>
    <row r="970" spans="1:16" x14ac:dyDescent="0.25">
      <c r="A970" t="s">
        <v>1139</v>
      </c>
      <c r="B970" s="5">
        <v>43.155999999999999</v>
      </c>
      <c r="C970" s="5">
        <v>-90.677999999999997</v>
      </c>
      <c r="D970" s="5" t="s">
        <v>2062</v>
      </c>
      <c r="E970" s="5">
        <v>1</v>
      </c>
      <c r="F970" s="7">
        <v>0</v>
      </c>
      <c r="G970">
        <f>18.7/2</f>
        <v>9.35</v>
      </c>
      <c r="H970" s="5">
        <f t="shared" si="29"/>
        <v>34.313331249999997</v>
      </c>
      <c r="I970">
        <f>2/H970</f>
        <v>5.8286383954632801E-2</v>
      </c>
      <c r="J970" s="5">
        <v>0</v>
      </c>
      <c r="K970" s="5">
        <f>2.4/H970</f>
        <v>6.9943660745559355E-2</v>
      </c>
      <c r="L970" s="5">
        <f>2/H970</f>
        <v>5.8286383954632801E-2</v>
      </c>
      <c r="M970" s="5">
        <f>1/H970</f>
        <v>2.91431919773164E-2</v>
      </c>
      <c r="N970" s="5">
        <f>5*7/2/H970</f>
        <v>0.51000585960303702</v>
      </c>
      <c r="O970" s="5">
        <f>6.5*7/2/H970</f>
        <v>0.6630076174839481</v>
      </c>
      <c r="P970" s="5">
        <f>7/H970</f>
        <v>0.20400234384121479</v>
      </c>
    </row>
    <row r="971" spans="1:16" x14ac:dyDescent="0.25">
      <c r="A971" t="s">
        <v>359</v>
      </c>
      <c r="B971" s="5">
        <v>43.158000000000001</v>
      </c>
      <c r="C971" s="5">
        <v>-93.331000000000003</v>
      </c>
      <c r="D971" s="5" t="s">
        <v>1946</v>
      </c>
      <c r="E971" s="5">
        <v>1</v>
      </c>
      <c r="F971" s="7">
        <v>1</v>
      </c>
      <c r="G971">
        <v>10.5</v>
      </c>
      <c r="H971" s="5">
        <f t="shared" si="29"/>
        <v>43.273125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x14ac:dyDescent="0.25">
      <c r="A972" t="s">
        <v>363</v>
      </c>
      <c r="B972">
        <v>43.164000000000001</v>
      </c>
      <c r="C972">
        <v>-95.201999999999998</v>
      </c>
      <c r="D972" t="s">
        <v>2072</v>
      </c>
      <c r="E972" s="5">
        <v>1</v>
      </c>
      <c r="F972" s="7">
        <v>0</v>
      </c>
      <c r="G972">
        <v>10</v>
      </c>
      <c r="H972" s="5">
        <f t="shared" si="29"/>
        <v>39.25</v>
      </c>
      <c r="I972">
        <v>0</v>
      </c>
      <c r="J972">
        <f>0.4/H972</f>
        <v>1.0191082802547772E-2</v>
      </c>
      <c r="K972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</row>
    <row r="973" spans="1:16" x14ac:dyDescent="0.25">
      <c r="A973" t="s">
        <v>527</v>
      </c>
      <c r="B973">
        <v>43.170999999999999</v>
      </c>
      <c r="C973">
        <v>-86.236999999999995</v>
      </c>
      <c r="D973" t="s">
        <v>2042</v>
      </c>
      <c r="E973" s="5">
        <v>1</v>
      </c>
      <c r="F973" s="7">
        <v>1</v>
      </c>
      <c r="G973">
        <v>10</v>
      </c>
      <c r="H973" s="5">
        <f t="shared" si="29"/>
        <v>39.25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x14ac:dyDescent="0.25">
      <c r="A974" t="s">
        <v>685</v>
      </c>
      <c r="B974" s="5">
        <v>43.195</v>
      </c>
      <c r="C974" s="5">
        <v>-71.501000000000005</v>
      </c>
      <c r="D974" s="5" t="s">
        <v>2014</v>
      </c>
      <c r="E974" s="5">
        <v>1</v>
      </c>
      <c r="F974" s="7">
        <v>1</v>
      </c>
      <c r="G974">
        <v>9.5</v>
      </c>
      <c r="H974" s="5">
        <f t="shared" si="29"/>
        <v>35.423124999999999</v>
      </c>
      <c r="I974">
        <f>1/H974</f>
        <v>2.8230146267445348E-2</v>
      </c>
      <c r="J974">
        <f>1/H974</f>
        <v>2.8230146267445348E-2</v>
      </c>
      <c r="K974">
        <f>3/H974</f>
        <v>8.4690438802336052E-2</v>
      </c>
      <c r="L974">
        <f>3/H974</f>
        <v>8.4690438802336052E-2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t="s">
        <v>1132</v>
      </c>
      <c r="B975">
        <v>43.212000000000003</v>
      </c>
      <c r="C975">
        <v>-90.180999999999997</v>
      </c>
      <c r="D975" t="s">
        <v>2055</v>
      </c>
      <c r="E975" s="5">
        <v>1</v>
      </c>
      <c r="F975" s="7">
        <v>1</v>
      </c>
      <c r="G975">
        <f>23.5/2</f>
        <v>11.75</v>
      </c>
      <c r="H975" s="5">
        <f t="shared" si="29"/>
        <v>54.189531250000002</v>
      </c>
      <c r="I975">
        <v>0</v>
      </c>
      <c r="J975" s="5">
        <v>0</v>
      </c>
      <c r="K975" s="5">
        <v>0</v>
      </c>
      <c r="L975" s="5">
        <v>0</v>
      </c>
      <c r="M975" s="5">
        <f>1/H975</f>
        <v>1.8453748850244943E-2</v>
      </c>
      <c r="N975" s="5">
        <v>0</v>
      </c>
      <c r="O975" s="5">
        <f>4.5/H975</f>
        <v>8.3041869826102246E-2</v>
      </c>
      <c r="P975" s="5">
        <f>1/H975</f>
        <v>1.8453748850244943E-2</v>
      </c>
    </row>
    <row r="976" spans="1:16" x14ac:dyDescent="0.25">
      <c r="A976" t="s">
        <v>778</v>
      </c>
      <c r="B976" s="5">
        <v>43.232999999999997</v>
      </c>
      <c r="C976" s="5">
        <v>-75.400000000000006</v>
      </c>
      <c r="D976" t="s">
        <v>1873</v>
      </c>
      <c r="E976" s="5">
        <v>1</v>
      </c>
      <c r="F976" s="7">
        <v>1</v>
      </c>
      <c r="G976">
        <f>22.5/2</f>
        <v>11.25</v>
      </c>
      <c r="H976" s="5">
        <f t="shared" si="29"/>
        <v>49.675781250000007</v>
      </c>
      <c r="I976">
        <v>0</v>
      </c>
      <c r="J976">
        <v>0</v>
      </c>
      <c r="K976">
        <v>0</v>
      </c>
      <c r="L976">
        <v>0</v>
      </c>
      <c r="M976">
        <f>0.5/H976</f>
        <v>1.0065266965479278E-2</v>
      </c>
      <c r="N976">
        <f>2.5/H976</f>
        <v>5.0326334827396388E-2</v>
      </c>
      <c r="O976">
        <f>1/H976</f>
        <v>2.0130533930958556E-2</v>
      </c>
      <c r="P976">
        <v>0</v>
      </c>
    </row>
    <row r="977" spans="1:16" x14ac:dyDescent="0.25">
      <c r="A977" t="s">
        <v>863</v>
      </c>
      <c r="B977">
        <v>43.238999999999997</v>
      </c>
      <c r="C977">
        <v>-123.355</v>
      </c>
      <c r="D977" t="s">
        <v>2141</v>
      </c>
      <c r="E977" s="5">
        <v>1</v>
      </c>
      <c r="F977" s="7">
        <v>1</v>
      </c>
      <c r="G977">
        <f>19.5/2</f>
        <v>9.75</v>
      </c>
      <c r="H977" s="5">
        <f t="shared" si="29"/>
        <v>37.312031250000004</v>
      </c>
      <c r="I977">
        <f>5/H977</f>
        <v>0.13400503356407323</v>
      </c>
      <c r="J977">
        <f>4*3.5/2/H977</f>
        <v>0.18760704698970254</v>
      </c>
      <c r="K977">
        <f>4*4.5/2/H977</f>
        <v>0.24120906041533183</v>
      </c>
      <c r="L977">
        <f>2/H977</f>
        <v>5.3602013425629293E-2</v>
      </c>
      <c r="M977">
        <f>5*6/2/H977</f>
        <v>0.40201510069221968</v>
      </c>
      <c r="N977">
        <f>3.5*5.5/2/H977</f>
        <v>0.25795968961084098</v>
      </c>
      <c r="O977">
        <f>5*7/2/H977</f>
        <v>0.46901761747425635</v>
      </c>
      <c r="P977">
        <f>6*3.5/2/H977</f>
        <v>0.28141057048455381</v>
      </c>
    </row>
    <row r="978" spans="1:16" x14ac:dyDescent="0.25">
      <c r="A978" t="s">
        <v>687</v>
      </c>
      <c r="B978" s="5">
        <v>43.277999999999999</v>
      </c>
      <c r="C978" s="5">
        <v>-70.921999999999997</v>
      </c>
      <c r="D978" t="s">
        <v>2016</v>
      </c>
      <c r="E978" s="5">
        <v>1</v>
      </c>
      <c r="F978" s="7">
        <v>0</v>
      </c>
      <c r="G978">
        <f>20.3/2</f>
        <v>10.15</v>
      </c>
      <c r="H978" s="5">
        <f t="shared" si="29"/>
        <v>40.436331250000002</v>
      </c>
      <c r="I978">
        <f>7.5*4.5/2/H978</f>
        <v>0.41732272632918443</v>
      </c>
      <c r="J978">
        <f>(H978-4*4.5/2)/H978</f>
        <v>0.77742787929110158</v>
      </c>
      <c r="K978">
        <f>2.5*5.5/2/H978</f>
        <v>0.17002036998596404</v>
      </c>
      <c r="L978">
        <f>0.5/H978</f>
        <v>1.2365117817161021E-2</v>
      </c>
      <c r="M978">
        <f>8*3/2/H978</f>
        <v>0.29676282761186451</v>
      </c>
      <c r="N978">
        <f>6.5*3.5/2/H978</f>
        <v>0.28130643034041325</v>
      </c>
      <c r="O978">
        <f>5.5*8/2/H978</f>
        <v>0.54406518395508496</v>
      </c>
      <c r="P978">
        <v>0</v>
      </c>
    </row>
    <row r="979" spans="1:16" x14ac:dyDescent="0.25">
      <c r="A979" t="s">
        <v>774</v>
      </c>
      <c r="B979" s="5">
        <v>43.341000000000001</v>
      </c>
      <c r="C979" s="5">
        <v>-73.61</v>
      </c>
      <c r="D979" t="s">
        <v>1869</v>
      </c>
      <c r="E979">
        <v>1</v>
      </c>
      <c r="F979" s="7">
        <v>0</v>
      </c>
      <c r="G979">
        <v>11.5</v>
      </c>
      <c r="H979" s="5">
        <f t="shared" si="29"/>
        <v>51.908124999999998</v>
      </c>
      <c r="I979">
        <f>1.3/H979</f>
        <v>2.5044248853141972E-2</v>
      </c>
      <c r="J979" s="5">
        <f>0.3/H979</f>
        <v>5.7794420430327623E-3</v>
      </c>
      <c r="K979" s="5">
        <f>2/H979</f>
        <v>3.8529613620218416E-2</v>
      </c>
      <c r="L979" s="5">
        <v>0</v>
      </c>
      <c r="M979" s="5">
        <v>0</v>
      </c>
      <c r="N979" s="5">
        <f>4*7.5/2/H979</f>
        <v>0.2889721021516381</v>
      </c>
      <c r="O979" s="5">
        <f>2/H979</f>
        <v>3.8529613620218416E-2</v>
      </c>
      <c r="P979" s="5">
        <f>4/H979</f>
        <v>7.7059227240436831E-2</v>
      </c>
    </row>
    <row r="980" spans="1:16" x14ac:dyDescent="0.25">
      <c r="A980" t="s">
        <v>1087</v>
      </c>
      <c r="B980" s="5">
        <v>43.344000000000001</v>
      </c>
      <c r="C980" s="5">
        <v>-72.518000000000001</v>
      </c>
      <c r="D980" s="5" t="s">
        <v>2023</v>
      </c>
      <c r="E980" s="5">
        <v>1</v>
      </c>
      <c r="F980" s="7">
        <v>0</v>
      </c>
      <c r="G980">
        <f>21.4/2</f>
        <v>10.7</v>
      </c>
      <c r="H980" s="5">
        <f t="shared" si="29"/>
        <v>44.937324999999994</v>
      </c>
      <c r="I980">
        <f>8*4/2/H980</f>
        <v>0.35605145611137295</v>
      </c>
      <c r="J980">
        <f>3*1.4/H980</f>
        <v>9.3463507229235382E-2</v>
      </c>
      <c r="K980">
        <f>7*6.5/2/H980</f>
        <v>0.50626066415835835</v>
      </c>
      <c r="L980">
        <f>5.5*2.5/2/H980</f>
        <v>0.15299086004785556</v>
      </c>
      <c r="M980">
        <f>6*1.5/2/H980</f>
        <v>0.10013947203132365</v>
      </c>
      <c r="N980">
        <v>0</v>
      </c>
      <c r="O980">
        <f>8.5*3/2/H980</f>
        <v>0.28372850408875033</v>
      </c>
      <c r="P980">
        <f>7*9/2/H980</f>
        <v>0.70097630421926549</v>
      </c>
    </row>
    <row r="981" spans="1:16" x14ac:dyDescent="0.25">
      <c r="A981" t="s">
        <v>768</v>
      </c>
      <c r="B981" s="5">
        <v>43.35</v>
      </c>
      <c r="C981" s="5">
        <v>-76.385000000000005</v>
      </c>
      <c r="D981" s="5" t="s">
        <v>1862</v>
      </c>
      <c r="E981">
        <v>1</v>
      </c>
      <c r="F981" s="7">
        <v>1</v>
      </c>
      <c r="G981">
        <f>20.5/2</f>
        <v>10.25</v>
      </c>
      <c r="H981" s="5">
        <f t="shared" si="29"/>
        <v>41.237031250000001</v>
      </c>
      <c r="I981">
        <v>0</v>
      </c>
      <c r="J981">
        <f>4/H981</f>
        <v>9.7000193242572474E-2</v>
      </c>
      <c r="K981">
        <f>7/H981</f>
        <v>0.16975033817450183</v>
      </c>
      <c r="L981">
        <f>8.5*4.5/2/H981</f>
        <v>0.46378217394104965</v>
      </c>
      <c r="M981">
        <v>0</v>
      </c>
      <c r="N981">
        <v>0</v>
      </c>
      <c r="O981">
        <f>2/H981</f>
        <v>4.8500096621286237E-2</v>
      </c>
      <c r="P981">
        <v>0</v>
      </c>
    </row>
    <row r="982" spans="1:16" x14ac:dyDescent="0.25">
      <c r="A982" t="s">
        <v>931</v>
      </c>
      <c r="B982" s="5">
        <v>43.39</v>
      </c>
      <c r="C982" s="5">
        <v>-99.841999999999999</v>
      </c>
      <c r="D982" s="5" t="s">
        <v>2081</v>
      </c>
      <c r="E982">
        <v>1</v>
      </c>
      <c r="F982" s="7">
        <v>1</v>
      </c>
      <c r="G982">
        <v>11</v>
      </c>
      <c r="H982" s="5">
        <f t="shared" si="29"/>
        <v>47.4925</v>
      </c>
      <c r="I982">
        <v>0</v>
      </c>
      <c r="J982">
        <v>0</v>
      </c>
      <c r="K982">
        <v>0</v>
      </c>
      <c r="L982">
        <v>0</v>
      </c>
      <c r="M982">
        <f>1/H982</f>
        <v>2.1055956203611097E-2</v>
      </c>
      <c r="N982" s="5">
        <f>2/H982</f>
        <v>4.2111912407222195E-2</v>
      </c>
      <c r="O982" s="5">
        <v>0</v>
      </c>
      <c r="P982" s="5">
        <v>0</v>
      </c>
    </row>
    <row r="983" spans="1:16" x14ac:dyDescent="0.25">
      <c r="A983" t="s">
        <v>362</v>
      </c>
      <c r="B983" s="5">
        <v>43.408000000000001</v>
      </c>
      <c r="C983" s="5">
        <v>-94.745999999999995</v>
      </c>
      <c r="D983" s="5" t="s">
        <v>2071</v>
      </c>
      <c r="E983">
        <v>1</v>
      </c>
      <c r="F983" s="7">
        <v>1</v>
      </c>
      <c r="G983" s="5">
        <v>12</v>
      </c>
      <c r="H983" s="5">
        <f t="shared" si="29"/>
        <v>56.519999999999996</v>
      </c>
      <c r="I983" s="5">
        <f>3.5*1.5/H983</f>
        <v>9.2887473460721875E-2</v>
      </c>
      <c r="J983" s="5">
        <v>0</v>
      </c>
      <c r="K983" s="5">
        <v>0</v>
      </c>
      <c r="L983" s="5">
        <v>0</v>
      </c>
      <c r="M983" s="5">
        <f>1/H983</f>
        <v>1.7692852087756547E-2</v>
      </c>
      <c r="N983" s="5">
        <f>0.6/H983</f>
        <v>1.0615711252653929E-2</v>
      </c>
      <c r="O983" s="5">
        <v>0</v>
      </c>
      <c r="P983" s="5">
        <v>0</v>
      </c>
    </row>
    <row r="984" spans="1:16" x14ac:dyDescent="0.25">
      <c r="A984" t="s">
        <v>864</v>
      </c>
      <c r="B984" s="5">
        <v>43.417000000000002</v>
      </c>
      <c r="C984" s="5">
        <v>-124.25</v>
      </c>
      <c r="D984" s="5" t="s">
        <v>2142</v>
      </c>
      <c r="E984" s="5">
        <v>1</v>
      </c>
      <c r="F984" s="7">
        <v>0</v>
      </c>
      <c r="G984">
        <v>11.5</v>
      </c>
      <c r="H984" s="5">
        <f t="shared" si="29"/>
        <v>51.908124999999998</v>
      </c>
      <c r="I984">
        <v>0</v>
      </c>
      <c r="J984">
        <v>0</v>
      </c>
      <c r="K984">
        <v>0</v>
      </c>
      <c r="L984">
        <f>0.4/H984</f>
        <v>7.705922724043684E-3</v>
      </c>
      <c r="M984">
        <f>6*3/2/H984</f>
        <v>0.17338326129098286</v>
      </c>
      <c r="N984">
        <f>3.5*5/2/H984</f>
        <v>0.16856705958845558</v>
      </c>
      <c r="O984">
        <f>3/H984</f>
        <v>5.7794420430327627E-2</v>
      </c>
      <c r="P984">
        <v>0</v>
      </c>
    </row>
    <row r="985" spans="1:16" x14ac:dyDescent="0.25">
      <c r="A985" t="s">
        <v>370</v>
      </c>
      <c r="B985" s="5">
        <v>43.503999999999998</v>
      </c>
      <c r="C985" s="5">
        <v>-114.29600000000001</v>
      </c>
      <c r="D985" s="5" t="s">
        <v>2001</v>
      </c>
      <c r="E985">
        <v>1</v>
      </c>
      <c r="F985" s="7">
        <v>0</v>
      </c>
      <c r="G985">
        <f>25.7/2</f>
        <v>12.85</v>
      </c>
      <c r="H985" s="5">
        <f t="shared" si="29"/>
        <v>64.810581249999998</v>
      </c>
      <c r="I985">
        <f>6*5.5/2/H985</f>
        <v>0.25458805771781284</v>
      </c>
      <c r="J985" s="5">
        <f>9.5*5.5/2/H985</f>
        <v>0.40309775805320369</v>
      </c>
      <c r="K985" s="5">
        <f>5*9/2/H985</f>
        <v>0.34716553325156302</v>
      </c>
      <c r="L985" s="5">
        <v>0</v>
      </c>
      <c r="M985" s="5">
        <f>3.5*9/2/H985</f>
        <v>0.24301587327609411</v>
      </c>
      <c r="N985" s="5">
        <f>6*4/2/H985</f>
        <v>0.18515495106750027</v>
      </c>
      <c r="O985" s="5">
        <f>7/H985</f>
        <v>0.10800705478937515</v>
      </c>
      <c r="P985">
        <f>0.5/H985</f>
        <v>7.7147896278125109E-3</v>
      </c>
    </row>
    <row r="986" spans="1:16" x14ac:dyDescent="0.25">
      <c r="A986" t="s">
        <v>368</v>
      </c>
      <c r="B986">
        <v>43.515999999999998</v>
      </c>
      <c r="C986">
        <v>-112.06699999999999</v>
      </c>
      <c r="D986" t="s">
        <v>1990</v>
      </c>
      <c r="E986" s="5">
        <v>1</v>
      </c>
      <c r="F986" s="7">
        <v>0</v>
      </c>
      <c r="G986">
        <v>9.5</v>
      </c>
      <c r="H986" s="5">
        <f t="shared" si="29"/>
        <v>35.423124999999999</v>
      </c>
      <c r="I986">
        <v>0</v>
      </c>
      <c r="J986">
        <f>0.4/H986</f>
        <v>1.1292058506978141E-2</v>
      </c>
      <c r="K986">
        <f>1.5/H986</f>
        <v>4.2345219401168026E-2</v>
      </c>
      <c r="L986">
        <f>0.6/H986</f>
        <v>1.6938087760467208E-2</v>
      </c>
      <c r="M986">
        <f>9/H986</f>
        <v>0.25407131640700814</v>
      </c>
      <c r="N986">
        <v>0</v>
      </c>
      <c r="O986">
        <v>0</v>
      </c>
      <c r="P986">
        <v>0</v>
      </c>
    </row>
    <row r="987" spans="1:16" x14ac:dyDescent="0.25">
      <c r="A987" t="s">
        <v>530</v>
      </c>
      <c r="B987" s="5">
        <v>43.533000000000001</v>
      </c>
      <c r="C987" s="5">
        <v>-84.08</v>
      </c>
      <c r="D987" s="5" t="s">
        <v>2045</v>
      </c>
      <c r="E987" s="5">
        <v>1</v>
      </c>
      <c r="F987" s="7">
        <v>1</v>
      </c>
      <c r="G987">
        <f>24.4/2</f>
        <v>12.2</v>
      </c>
      <c r="H987" s="5">
        <f t="shared" si="29"/>
        <v>58.419699999999999</v>
      </c>
      <c r="I987">
        <v>0</v>
      </c>
      <c r="J987">
        <v>0</v>
      </c>
      <c r="K987">
        <v>0</v>
      </c>
      <c r="L987">
        <v>0</v>
      </c>
      <c r="M987">
        <f>0.3/H987</f>
        <v>5.1352540324582285E-3</v>
      </c>
      <c r="N987">
        <f>1.7/H987</f>
        <v>2.9099772850596631E-2</v>
      </c>
      <c r="O987">
        <v>0</v>
      </c>
      <c r="P987">
        <v>0</v>
      </c>
    </row>
    <row r="988" spans="1:16" x14ac:dyDescent="0.25">
      <c r="A988" t="s">
        <v>373</v>
      </c>
      <c r="B988" s="5">
        <v>43.564999999999998</v>
      </c>
      <c r="C988" s="5">
        <v>-116.22</v>
      </c>
      <c r="D988" t="s">
        <v>2124</v>
      </c>
      <c r="E988">
        <v>1</v>
      </c>
      <c r="F988" s="7">
        <v>1</v>
      </c>
      <c r="G988">
        <f>25.5/2</f>
        <v>12.75</v>
      </c>
      <c r="H988" s="5">
        <f t="shared" si="29"/>
        <v>63.805781250000003</v>
      </c>
      <c r="I988">
        <v>0</v>
      </c>
      <c r="J988">
        <v>0</v>
      </c>
      <c r="K988">
        <v>0</v>
      </c>
      <c r="L988">
        <f>3*1.2/H988</f>
        <v>5.6421219668084534E-2</v>
      </c>
      <c r="M988">
        <f>3*1.2/H988</f>
        <v>5.6421219668084534E-2</v>
      </c>
      <c r="N988">
        <f>2*2.2/H988</f>
        <v>6.8959268483214445E-2</v>
      </c>
      <c r="O988">
        <f>3*2.6/H988</f>
        <v>0.12224597594751652</v>
      </c>
      <c r="P988">
        <f>1.25/H988</f>
        <v>1.9590701273640466E-2</v>
      </c>
    </row>
    <row r="989" spans="1:16" x14ac:dyDescent="0.25">
      <c r="A989" t="s">
        <v>1127</v>
      </c>
      <c r="B989" s="5">
        <v>43.567</v>
      </c>
      <c r="C989" s="5">
        <v>-90.15</v>
      </c>
      <c r="D989" s="5" t="s">
        <v>1190</v>
      </c>
      <c r="E989" s="5">
        <v>1</v>
      </c>
      <c r="F989" s="7">
        <v>0</v>
      </c>
      <c r="G989">
        <f>25.6/2</f>
        <v>12.8</v>
      </c>
      <c r="H989" s="5">
        <f t="shared" si="29"/>
        <v>64.307200000000009</v>
      </c>
      <c r="I989">
        <v>0</v>
      </c>
      <c r="J989">
        <v>0</v>
      </c>
      <c r="K989">
        <v>0</v>
      </c>
      <c r="L989">
        <f>2/H989</f>
        <v>3.1100716560509549E-2</v>
      </c>
      <c r="M989">
        <f>4/H989</f>
        <v>6.2201433121019098E-2</v>
      </c>
      <c r="N989">
        <f>3/H989</f>
        <v>4.6651074840764327E-2</v>
      </c>
      <c r="O989" s="5">
        <f>6/H989</f>
        <v>9.3302149681528654E-2</v>
      </c>
      <c r="P989" s="5">
        <f>0.5/H989</f>
        <v>7.7751791401273872E-3</v>
      </c>
    </row>
    <row r="990" spans="1:16" x14ac:dyDescent="0.25">
      <c r="A990" t="s">
        <v>926</v>
      </c>
      <c r="B990" s="5">
        <v>43.576999999999998</v>
      </c>
      <c r="C990" s="5">
        <v>-96.754000000000005</v>
      </c>
      <c r="D990" t="s">
        <v>2076</v>
      </c>
      <c r="E990" s="5">
        <v>1</v>
      </c>
      <c r="F990" s="7">
        <v>1</v>
      </c>
      <c r="G990">
        <f>20.5/2</f>
        <v>10.25</v>
      </c>
      <c r="H990" s="5">
        <f t="shared" si="29"/>
        <v>41.237031250000001</v>
      </c>
      <c r="I990">
        <f>1.5/H990</f>
        <v>3.6375072465964678E-2</v>
      </c>
      <c r="J990">
        <v>0</v>
      </c>
      <c r="K990">
        <v>0</v>
      </c>
      <c r="L990">
        <v>0</v>
      </c>
      <c r="M990">
        <v>0</v>
      </c>
      <c r="N990">
        <f>3.4*6.5/2/H990</f>
        <v>0.26796303383260645</v>
      </c>
      <c r="O990">
        <f>4*3/2/H990</f>
        <v>0.14550028986385871</v>
      </c>
      <c r="P990">
        <f>2/H990</f>
        <v>4.8500096621286237E-2</v>
      </c>
    </row>
    <row r="991" spans="1:16" x14ac:dyDescent="0.25">
      <c r="A991" t="s">
        <v>852</v>
      </c>
      <c r="B991" s="5">
        <v>43.591999999999999</v>
      </c>
      <c r="C991" s="5">
        <v>-118.95399999999999</v>
      </c>
      <c r="D991" s="5" t="s">
        <v>2130</v>
      </c>
      <c r="E991" s="5">
        <v>1</v>
      </c>
      <c r="F991" s="7">
        <v>0</v>
      </c>
      <c r="G991">
        <v>9</v>
      </c>
      <c r="H991" s="5">
        <f t="shared" si="29"/>
        <v>31.7925</v>
      </c>
      <c r="I991">
        <v>0</v>
      </c>
      <c r="J991">
        <v>0</v>
      </c>
      <c r="K991">
        <v>0</v>
      </c>
      <c r="L991">
        <v>0</v>
      </c>
      <c r="M991">
        <v>0</v>
      </c>
      <c r="N991">
        <f>1/H991</f>
        <v>3.1453959267122751E-2</v>
      </c>
      <c r="O991">
        <v>0</v>
      </c>
      <c r="P991">
        <v>0</v>
      </c>
    </row>
    <row r="992" spans="1:16" x14ac:dyDescent="0.25">
      <c r="A992" t="s">
        <v>688</v>
      </c>
      <c r="B992" s="1">
        <v>43.625999999999998</v>
      </c>
      <c r="C992" s="1">
        <v>-72.305000000000007</v>
      </c>
      <c r="D992" s="1" t="s">
        <v>2021</v>
      </c>
      <c r="E992" s="5">
        <v>1</v>
      </c>
      <c r="F992" s="7">
        <v>1</v>
      </c>
      <c r="G992">
        <f>25.5/2</f>
        <v>12.75</v>
      </c>
      <c r="H992" s="5">
        <f t="shared" si="29"/>
        <v>63.805781250000003</v>
      </c>
      <c r="I992">
        <f>7.3*8/2/H992</f>
        <v>0.45763878175224126</v>
      </c>
      <c r="J992">
        <f>0.7*7.5/H992</f>
        <v>8.2280945349289952E-2</v>
      </c>
      <c r="K992">
        <f>3.5*4.5/2/H992</f>
        <v>0.12342141802393493</v>
      </c>
      <c r="L992">
        <f>3/H992</f>
        <v>4.701768305673712E-2</v>
      </c>
      <c r="M992" s="5">
        <f>3.5/H992</f>
        <v>5.4853963566193306E-2</v>
      </c>
      <c r="N992" s="5">
        <v>0</v>
      </c>
      <c r="O992" s="5">
        <f>4*5.5/2/H992</f>
        <v>0.17239817120803611</v>
      </c>
      <c r="P992" s="5">
        <f>10*6/2/H992</f>
        <v>0.4701768305673712</v>
      </c>
    </row>
    <row r="993" spans="1:16" x14ac:dyDescent="0.25">
      <c r="A993" t="s">
        <v>689</v>
      </c>
      <c r="B993" s="1">
        <v>43.625999999999998</v>
      </c>
      <c r="C993" s="1">
        <v>-72.305000000000007</v>
      </c>
      <c r="D993" s="1" t="s">
        <v>2021</v>
      </c>
      <c r="E993" s="5">
        <v>1</v>
      </c>
      <c r="F993" s="7">
        <v>1</v>
      </c>
      <c r="G993">
        <f>25.5/2</f>
        <v>12.75</v>
      </c>
      <c r="H993" s="5">
        <f t="shared" si="29"/>
        <v>63.805781250000003</v>
      </c>
      <c r="I993">
        <f>7.3*8/2/H993</f>
        <v>0.45763878175224126</v>
      </c>
      <c r="J993">
        <f>0.7*7.5/H993</f>
        <v>8.2280945349289952E-2</v>
      </c>
      <c r="K993">
        <f>3.5*4.5/2/H993</f>
        <v>0.12342141802393493</v>
      </c>
      <c r="L993">
        <f>3/H993</f>
        <v>4.701768305673712E-2</v>
      </c>
      <c r="M993">
        <f>3.5/H993</f>
        <v>5.4853963566193306E-2</v>
      </c>
      <c r="N993">
        <v>0</v>
      </c>
      <c r="O993">
        <f>4*5.5/2/H993</f>
        <v>0.17239817120803611</v>
      </c>
      <c r="P993">
        <f>10*6/2/H993</f>
        <v>0.4701768305673712</v>
      </c>
    </row>
    <row r="994" spans="1:16" x14ac:dyDescent="0.25">
      <c r="A994" t="s">
        <v>492</v>
      </c>
      <c r="B994" s="5">
        <v>43.642000000000003</v>
      </c>
      <c r="C994" s="5">
        <v>-70.304000000000002</v>
      </c>
      <c r="D994" s="5" t="s">
        <v>2017</v>
      </c>
      <c r="E994" s="5">
        <v>1</v>
      </c>
      <c r="F994" s="7">
        <v>1</v>
      </c>
      <c r="G994">
        <v>10.5</v>
      </c>
      <c r="H994" s="5">
        <f t="shared" si="29"/>
        <v>43.273125</v>
      </c>
      <c r="I994">
        <v>0</v>
      </c>
      <c r="J994">
        <v>0</v>
      </c>
      <c r="K994">
        <v>0</v>
      </c>
      <c r="L994">
        <v>0</v>
      </c>
      <c r="M994">
        <f>1.5/H994</f>
        <v>3.46635469474414E-2</v>
      </c>
      <c r="N994">
        <f>2/H994</f>
        <v>4.6218062596588526E-2</v>
      </c>
      <c r="O994">
        <v>0</v>
      </c>
      <c r="P994">
        <v>0</v>
      </c>
    </row>
    <row r="995" spans="1:16" x14ac:dyDescent="0.25">
      <c r="A995" t="s">
        <v>556</v>
      </c>
      <c r="B995" s="5">
        <v>43.646000000000001</v>
      </c>
      <c r="C995" s="5">
        <v>-94.417000000000002</v>
      </c>
      <c r="D995" s="5" t="s">
        <v>2101</v>
      </c>
      <c r="E995" s="5">
        <v>1</v>
      </c>
      <c r="F995" s="7">
        <v>0</v>
      </c>
      <c r="G995">
        <v>11.5</v>
      </c>
      <c r="H995" s="5">
        <f t="shared" si="29"/>
        <v>51.908124999999998</v>
      </c>
      <c r="I99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</row>
    <row r="996" spans="1:16" x14ac:dyDescent="0.25">
      <c r="A996" t="s">
        <v>927</v>
      </c>
      <c r="B996" s="5">
        <v>43.731000000000002</v>
      </c>
      <c r="C996" s="5">
        <v>-103.628</v>
      </c>
      <c r="D996" s="5" t="s">
        <v>2077</v>
      </c>
      <c r="E996" s="5">
        <v>1</v>
      </c>
      <c r="F996" s="7">
        <v>0</v>
      </c>
      <c r="G996">
        <f>21.3/2</f>
        <v>10.65</v>
      </c>
      <c r="H996" s="5">
        <f t="shared" si="29"/>
        <v>44.518331250000003</v>
      </c>
      <c r="I996">
        <f>8.5*7.5/2/H996</f>
        <v>0.71599718823692426</v>
      </c>
      <c r="J996">
        <f>4.5*7/2/H996</f>
        <v>0.35378684595236259</v>
      </c>
      <c r="K996">
        <f>0.3/H996</f>
        <v>6.7387970657592873E-3</v>
      </c>
      <c r="L996">
        <f>7*4.5/2/H996</f>
        <v>0.35378684595236259</v>
      </c>
      <c r="M996">
        <f>6.5*7.5/2/H996</f>
        <v>0.54752726159294207</v>
      </c>
      <c r="N996" s="5">
        <f>7.5*5/2/H996</f>
        <v>0.42117481660995543</v>
      </c>
      <c r="O996" s="5">
        <f>2/H996</f>
        <v>4.4925313771728578E-2</v>
      </c>
      <c r="P996" s="5">
        <f>5.5*7.5/2/H996</f>
        <v>0.46329229827095098</v>
      </c>
    </row>
    <row r="997" spans="1:16" x14ac:dyDescent="0.25">
      <c r="A997" t="s">
        <v>364</v>
      </c>
      <c r="B997">
        <v>43.743000000000002</v>
      </c>
      <c r="C997">
        <v>-111.098</v>
      </c>
      <c r="D997" t="s">
        <v>1216</v>
      </c>
      <c r="E997" s="5">
        <v>1</v>
      </c>
      <c r="F997" s="7">
        <v>0</v>
      </c>
      <c r="G997">
        <v>13</v>
      </c>
      <c r="H997" s="5">
        <f t="shared" si="29"/>
        <v>66.332499999999996</v>
      </c>
      <c r="I997">
        <f>1.5/H997</f>
        <v>2.2613349413937361E-2</v>
      </c>
      <c r="J997">
        <v>0</v>
      </c>
      <c r="K997">
        <v>0</v>
      </c>
      <c r="L997">
        <v>0</v>
      </c>
      <c r="M997">
        <f>4/H997</f>
        <v>6.0302265103832964E-2</v>
      </c>
      <c r="N997">
        <v>0</v>
      </c>
      <c r="O997">
        <v>0</v>
      </c>
      <c r="P997">
        <f>0.5/H997</f>
        <v>7.5377831379791205E-3</v>
      </c>
    </row>
    <row r="998" spans="1:16" x14ac:dyDescent="0.25">
      <c r="A998" t="s">
        <v>1136</v>
      </c>
      <c r="B998" s="5">
        <v>43.753999999999998</v>
      </c>
      <c r="C998" s="5">
        <v>-91.256</v>
      </c>
      <c r="D998" s="5" t="s">
        <v>2059</v>
      </c>
      <c r="E998" s="5">
        <v>1</v>
      </c>
      <c r="F998" s="7">
        <v>1</v>
      </c>
      <c r="G998">
        <v>11.5</v>
      </c>
      <c r="H998" s="5">
        <f t="shared" si="29"/>
        <v>51.908124999999998</v>
      </c>
      <c r="I998">
        <f>1.5/H998</f>
        <v>2.8897210215163813E-2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</row>
    <row r="999" spans="1:16" x14ac:dyDescent="0.25">
      <c r="A999" t="s">
        <v>934</v>
      </c>
      <c r="B999" s="5">
        <v>43.767000000000003</v>
      </c>
      <c r="C999" s="5">
        <v>-99.317999999999998</v>
      </c>
      <c r="D999" t="s">
        <v>2084</v>
      </c>
      <c r="E999" s="5">
        <v>1</v>
      </c>
      <c r="F999" s="7">
        <v>0</v>
      </c>
      <c r="G999">
        <v>12</v>
      </c>
      <c r="H999" s="5">
        <f t="shared" si="29"/>
        <v>56.519999999999996</v>
      </c>
      <c r="I999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</row>
    <row r="1000" spans="1:16" x14ac:dyDescent="0.25">
      <c r="A1000" t="s">
        <v>1135</v>
      </c>
      <c r="B1000" s="5">
        <v>43.768999999999998</v>
      </c>
      <c r="C1000" s="5">
        <v>-87.850999999999999</v>
      </c>
      <c r="D1000" s="5" t="s">
        <v>2058</v>
      </c>
      <c r="E1000" s="5">
        <v>1</v>
      </c>
      <c r="F1000" s="7">
        <v>1</v>
      </c>
      <c r="G1000">
        <v>11.5</v>
      </c>
      <c r="H1000" s="5">
        <f t="shared" si="29"/>
        <v>51.908124999999998</v>
      </c>
      <c r="I1000">
        <v>0</v>
      </c>
      <c r="J1000">
        <v>0</v>
      </c>
      <c r="K1000">
        <f>3/H1000</f>
        <v>5.7794420430327627E-2</v>
      </c>
      <c r="L1000">
        <f>9*4/2/H1000</f>
        <v>0.34676652258196572</v>
      </c>
      <c r="M1000">
        <f>4*3/2/H1000</f>
        <v>0.11558884086065525</v>
      </c>
      <c r="N1000">
        <v>0</v>
      </c>
      <c r="O1000">
        <v>0</v>
      </c>
      <c r="P1000">
        <f>2/H1000</f>
        <v>3.8529613620218416E-2</v>
      </c>
    </row>
    <row r="1001" spans="1:16" x14ac:dyDescent="0.25">
      <c r="A1001" t="s">
        <v>1150</v>
      </c>
      <c r="B1001" s="5">
        <v>43.77</v>
      </c>
      <c r="C1001" s="5">
        <v>-88.486000000000004</v>
      </c>
      <c r="D1001" s="5" t="s">
        <v>2074</v>
      </c>
      <c r="E1001" s="5">
        <v>1</v>
      </c>
      <c r="F1001" s="7">
        <v>1</v>
      </c>
      <c r="G1001" s="5">
        <f>25.5/2</f>
        <v>12.75</v>
      </c>
      <c r="H1001" s="5">
        <f t="shared" si="29"/>
        <v>63.805781250000003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f>2.5*6/2/H1001</f>
        <v>0.1175442076418428</v>
      </c>
      <c r="O1001" s="5">
        <f>3*8.5/2/H1001</f>
        <v>0.19982515299113274</v>
      </c>
      <c r="P1001" s="5">
        <v>0</v>
      </c>
    </row>
    <row r="1002" spans="1:16" x14ac:dyDescent="0.25">
      <c r="A1002" t="s">
        <v>937</v>
      </c>
      <c r="B1002" s="5">
        <v>43.777000000000001</v>
      </c>
      <c r="C1002" s="5">
        <v>-98.037999999999997</v>
      </c>
      <c r="D1002" s="5" t="s">
        <v>2087</v>
      </c>
      <c r="E1002" s="5">
        <v>1</v>
      </c>
      <c r="F1002" s="7">
        <v>1</v>
      </c>
      <c r="G1002">
        <v>12</v>
      </c>
      <c r="H1002" s="5">
        <f t="shared" si="29"/>
        <v>56.519999999999996</v>
      </c>
      <c r="I1002">
        <v>0</v>
      </c>
      <c r="J1002">
        <v>0</v>
      </c>
      <c r="K1002">
        <v>0</v>
      </c>
      <c r="L1002">
        <v>0</v>
      </c>
      <c r="M1002" s="5">
        <v>0</v>
      </c>
      <c r="N1002" s="5">
        <v>0</v>
      </c>
      <c r="O1002" s="5">
        <v>0</v>
      </c>
      <c r="P1002" s="5">
        <v>0</v>
      </c>
    </row>
    <row r="1003" spans="1:16" x14ac:dyDescent="0.25">
      <c r="A1003" t="s">
        <v>377</v>
      </c>
      <c r="B1003" s="5">
        <v>43.834000000000003</v>
      </c>
      <c r="C1003" s="5">
        <v>-111.881</v>
      </c>
      <c r="D1003" s="5" t="s">
        <v>2128</v>
      </c>
      <c r="E1003" s="5">
        <v>1</v>
      </c>
      <c r="F1003" s="7">
        <v>0</v>
      </c>
      <c r="G1003">
        <f>20.6/2</f>
        <v>10.3</v>
      </c>
      <c r="H1003" s="5">
        <f t="shared" si="29"/>
        <v>41.640325000000011</v>
      </c>
      <c r="I1003">
        <f>0.5/H1003</f>
        <v>1.2007591199156103E-2</v>
      </c>
      <c r="J1003">
        <f>1/H1003</f>
        <v>2.4015182398312206E-2</v>
      </c>
      <c r="K1003">
        <f>1/H1003</f>
        <v>2.4015182398312206E-2</v>
      </c>
      <c r="L1003" s="5">
        <f>3.5*7/2/H1003</f>
        <v>0.29418598437932453</v>
      </c>
      <c r="M1003" s="5">
        <f>0.7/H1003</f>
        <v>1.6810627678818545E-2</v>
      </c>
      <c r="N1003" s="5">
        <f>1.4/H1003</f>
        <v>3.3621255357637089E-2</v>
      </c>
      <c r="O1003" s="5">
        <f>2/H1003</f>
        <v>4.8030364796624411E-2</v>
      </c>
      <c r="P1003" s="5">
        <f>4.5/H1003</f>
        <v>0.10806832079240493</v>
      </c>
    </row>
    <row r="1004" spans="1:16" x14ac:dyDescent="0.25">
      <c r="A1004" t="s">
        <v>508</v>
      </c>
      <c r="B1004">
        <v>43.9</v>
      </c>
      <c r="C1004">
        <v>-69.933000000000007</v>
      </c>
      <c r="D1004" t="s">
        <v>2228</v>
      </c>
      <c r="E1004" s="5">
        <v>1</v>
      </c>
      <c r="F1004" s="7">
        <v>1</v>
      </c>
      <c r="G1004">
        <f>22.5/2</f>
        <v>11.25</v>
      </c>
      <c r="H1004" s="5">
        <f t="shared" si="29"/>
        <v>49.675781250000007</v>
      </c>
      <c r="I1004">
        <f>2.7*3.4/2/H1004</f>
        <v>9.2399150743099775E-2</v>
      </c>
      <c r="J1004">
        <f>4*3/2/H1004</f>
        <v>0.12078320358575134</v>
      </c>
      <c r="K1004">
        <f>1.7*6/H1004</f>
        <v>0.20533144609577728</v>
      </c>
      <c r="L1004">
        <f>4.5/H1004</f>
        <v>9.0587402689313506E-2</v>
      </c>
      <c r="M1004">
        <f>1.5/H1004</f>
        <v>3.0195800896437835E-2</v>
      </c>
      <c r="N1004">
        <v>0</v>
      </c>
      <c r="O1004" s="5">
        <v>0</v>
      </c>
      <c r="P1004" s="5">
        <v>0</v>
      </c>
    </row>
    <row r="1005" spans="1:16" x14ac:dyDescent="0.25">
      <c r="A1005" t="s">
        <v>545</v>
      </c>
      <c r="B1005" s="5">
        <v>43.904000000000003</v>
      </c>
      <c r="C1005" s="5">
        <v>-92.492000000000004</v>
      </c>
      <c r="D1005" s="5" t="s">
        <v>2063</v>
      </c>
      <c r="E1005" s="5">
        <v>1</v>
      </c>
      <c r="F1005" s="7">
        <v>1</v>
      </c>
      <c r="G1005">
        <f>22.5/2</f>
        <v>11.25</v>
      </c>
      <c r="H1005" s="5">
        <f t="shared" si="29"/>
        <v>49.675781250000007</v>
      </c>
      <c r="I100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</row>
    <row r="1006" spans="1:16" x14ac:dyDescent="0.25">
      <c r="A1006" t="s">
        <v>1138</v>
      </c>
      <c r="B1006">
        <v>43.938000000000002</v>
      </c>
      <c r="C1006">
        <v>-90.268000000000001</v>
      </c>
      <c r="D1006" t="s">
        <v>2061</v>
      </c>
      <c r="E1006" s="5">
        <v>1</v>
      </c>
      <c r="F1006" s="7">
        <v>0</v>
      </c>
      <c r="G1006">
        <v>12</v>
      </c>
      <c r="H1006" s="5">
        <f t="shared" si="29"/>
        <v>56.519999999999996</v>
      </c>
      <c r="I1006">
        <v>0</v>
      </c>
      <c r="J1006">
        <v>0</v>
      </c>
      <c r="K1006">
        <v>0</v>
      </c>
      <c r="L1006">
        <f>0.3/H1006</f>
        <v>5.3078556263269645E-3</v>
      </c>
      <c r="M1006">
        <f>1/H1006</f>
        <v>1.7692852087756547E-2</v>
      </c>
      <c r="N1006">
        <f>1.3/H1006</f>
        <v>2.3000707714083513E-2</v>
      </c>
      <c r="O1006">
        <v>0</v>
      </c>
      <c r="P1006">
        <v>0</v>
      </c>
    </row>
    <row r="1007" spans="1:16" x14ac:dyDescent="0.25">
      <c r="A1007" t="s">
        <v>507</v>
      </c>
      <c r="B1007" s="5">
        <v>43.963999999999999</v>
      </c>
      <c r="C1007" s="5">
        <v>-69.712000000000003</v>
      </c>
      <c r="D1007" s="5" t="s">
        <v>2155</v>
      </c>
      <c r="E1007">
        <v>1</v>
      </c>
      <c r="F1007" s="7">
        <v>1</v>
      </c>
      <c r="G1007">
        <f>24.5/2</f>
        <v>12.25</v>
      </c>
      <c r="H1007" s="5">
        <f t="shared" si="29"/>
        <v>58.899531250000003</v>
      </c>
      <c r="I1007">
        <f>10*11/2/H1007</f>
        <v>0.93379350960454366</v>
      </c>
      <c r="J1007">
        <f>5*10/2/H1007</f>
        <v>0.42445159527479259</v>
      </c>
      <c r="K1007">
        <f>5*4/2/H1007</f>
        <v>0.16978063810991703</v>
      </c>
      <c r="L1007">
        <f>(H1007-7*4/2)/H1007</f>
        <v>0.76230710664611612</v>
      </c>
      <c r="M1007">
        <f>(H1007-9*5.5/2)/H1007</f>
        <v>0.57979292067795529</v>
      </c>
      <c r="N1007">
        <f>3*10.5/2/H1007</f>
        <v>0.26740450502311935</v>
      </c>
      <c r="O1007">
        <f>9*10/2/H1007</f>
        <v>0.76401287149462671</v>
      </c>
      <c r="P1007">
        <v>0.98</v>
      </c>
    </row>
    <row r="1008" spans="1:16" x14ac:dyDescent="0.25">
      <c r="A1008" t="s">
        <v>1179</v>
      </c>
      <c r="B1008" s="5">
        <v>43.966000000000001</v>
      </c>
      <c r="C1008" s="5">
        <v>-107.95099999999999</v>
      </c>
      <c r="D1008" s="5" t="s">
        <v>2110</v>
      </c>
      <c r="E1008" s="5">
        <v>1</v>
      </c>
      <c r="F1008" s="7">
        <v>1</v>
      </c>
      <c r="G1008">
        <f>22.5/2</f>
        <v>11.25</v>
      </c>
      <c r="H1008" s="5">
        <f t="shared" si="29"/>
        <v>49.675781250000007</v>
      </c>
      <c r="I1008">
        <f>0.4/H1008</f>
        <v>8.0522135723834227E-3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</row>
    <row r="1009" spans="1:16" x14ac:dyDescent="0.25">
      <c r="A1009" t="s">
        <v>1142</v>
      </c>
      <c r="B1009" s="5">
        <v>43.984000000000002</v>
      </c>
      <c r="C1009" s="5">
        <v>-88.557000000000002</v>
      </c>
      <c r="D1009" t="s">
        <v>2066</v>
      </c>
      <c r="E1009" s="5">
        <v>1</v>
      </c>
      <c r="F1009" s="7">
        <v>0</v>
      </c>
      <c r="G1009">
        <f>23.8/2</f>
        <v>11.9</v>
      </c>
      <c r="H1009" s="5">
        <f t="shared" si="29"/>
        <v>55.581924999999998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f>3.5/H1009</f>
        <v>6.2970111236701501E-2</v>
      </c>
      <c r="O1009">
        <f>3/H1009</f>
        <v>5.3974381060029858E-2</v>
      </c>
      <c r="P1009">
        <f>0.5/H1009</f>
        <v>8.995730176671643E-3</v>
      </c>
    </row>
    <row r="1010" spans="1:16" x14ac:dyDescent="0.25">
      <c r="A1010" t="s">
        <v>498</v>
      </c>
      <c r="B1010" s="5">
        <v>43.991</v>
      </c>
      <c r="C1010" s="5">
        <v>-70.947999999999993</v>
      </c>
      <c r="D1010" s="5" t="s">
        <v>2030</v>
      </c>
      <c r="E1010" s="5">
        <v>1</v>
      </c>
      <c r="F1010" s="7">
        <v>0</v>
      </c>
      <c r="G1010">
        <v>10</v>
      </c>
      <c r="H1010" s="5">
        <f t="shared" si="29"/>
        <v>39.25</v>
      </c>
      <c r="I1010">
        <f>(H1010-5*6/2)/H1010</f>
        <v>0.61783439490445857</v>
      </c>
      <c r="J1010">
        <f>(H1010-5.5*6/2)/H1010</f>
        <v>0.57961783439490444</v>
      </c>
      <c r="K1010">
        <f>3*5/2/H1010</f>
        <v>0.19108280254777071</v>
      </c>
      <c r="L1010">
        <f>4*2.5/2/H1010</f>
        <v>0.12738853503184713</v>
      </c>
      <c r="M1010">
        <f>4/H1010</f>
        <v>0.10191082802547771</v>
      </c>
      <c r="N1010">
        <f>3/H1010</f>
        <v>7.6433121019108277E-2</v>
      </c>
      <c r="O1010">
        <f>2.5*7/2/H1010</f>
        <v>0.22292993630573249</v>
      </c>
      <c r="P1010">
        <f>3*6/2/H1010</f>
        <v>0.22929936305732485</v>
      </c>
    </row>
    <row r="1011" spans="1:16" x14ac:dyDescent="0.25">
      <c r="A1011" t="s">
        <v>787</v>
      </c>
      <c r="B1011" s="5">
        <v>43.991999999999997</v>
      </c>
      <c r="C1011" s="5">
        <v>-76.022000000000006</v>
      </c>
      <c r="D1011" s="5" t="s">
        <v>2037</v>
      </c>
      <c r="E1011" s="5">
        <v>1</v>
      </c>
      <c r="F1011" s="7">
        <v>1</v>
      </c>
      <c r="G1011">
        <f>24.5/2</f>
        <v>12.25</v>
      </c>
      <c r="H1011" s="5">
        <f t="shared" si="29"/>
        <v>58.899531250000003</v>
      </c>
      <c r="I1011">
        <v>0</v>
      </c>
      <c r="J1011">
        <v>0</v>
      </c>
      <c r="K1011">
        <f>9*7.5/2/H1011</f>
        <v>0.57300965362097001</v>
      </c>
      <c r="L1011">
        <f>(H1011-2.5*2.5/2)/H1011</f>
        <v>0.94694355059065094</v>
      </c>
      <c r="M1011">
        <f>2.5/2/H1011</f>
        <v>2.1222579763739629E-2</v>
      </c>
      <c r="N1011">
        <f>4.5*9/2/H1011</f>
        <v>0.343805792172582</v>
      </c>
      <c r="O1011">
        <v>0</v>
      </c>
      <c r="P1011">
        <v>0</v>
      </c>
    </row>
    <row r="1012" spans="1:16" x14ac:dyDescent="0.25">
      <c r="A1012" t="s">
        <v>855</v>
      </c>
      <c r="B1012" s="5">
        <v>44.021000000000001</v>
      </c>
      <c r="C1012" s="5">
        <v>-117.01300000000001</v>
      </c>
      <c r="D1012" s="5" t="s">
        <v>2133</v>
      </c>
      <c r="E1012" s="5">
        <v>1</v>
      </c>
      <c r="F1012" s="7">
        <v>1</v>
      </c>
      <c r="G1012">
        <f>23/2</f>
        <v>11.5</v>
      </c>
      <c r="H1012" s="5">
        <f t="shared" si="29"/>
        <v>51.908124999999998</v>
      </c>
      <c r="I1012">
        <f>3.5*7/2/H1012</f>
        <v>0.23599388342383779</v>
      </c>
      <c r="J1012" s="5">
        <f>6*5/2/H1012</f>
        <v>0.2889721021516381</v>
      </c>
      <c r="K1012" s="5">
        <f>4.8*3.8/2/H1012</f>
        <v>0.17569503810819595</v>
      </c>
      <c r="L1012" s="5">
        <v>0</v>
      </c>
      <c r="M1012" s="5">
        <f>2.5/H1012</f>
        <v>4.8162017025273021E-2</v>
      </c>
      <c r="N1012" s="5">
        <v>0</v>
      </c>
      <c r="O1012" s="5">
        <f>1/H1012</f>
        <v>1.9264806810109208E-2</v>
      </c>
      <c r="P1012" s="5">
        <v>0</v>
      </c>
    </row>
    <row r="1013" spans="1:16" x14ac:dyDescent="0.25">
      <c r="A1013" t="s">
        <v>516</v>
      </c>
      <c r="B1013" s="5">
        <v>44.021999999999998</v>
      </c>
      <c r="C1013" s="5">
        <v>-82.793000000000006</v>
      </c>
      <c r="D1013" s="5" t="s">
        <v>1926</v>
      </c>
      <c r="E1013" s="5">
        <v>1</v>
      </c>
      <c r="F1013" s="7">
        <v>1</v>
      </c>
      <c r="G1013">
        <v>10.5</v>
      </c>
      <c r="H1013" s="5">
        <f t="shared" si="29"/>
        <v>43.273125</v>
      </c>
      <c r="I1013">
        <v>0</v>
      </c>
      <c r="J1013" s="5">
        <v>0</v>
      </c>
      <c r="K1013" s="5">
        <f>2.5/H1013</f>
        <v>5.7772578245735659E-2</v>
      </c>
      <c r="L1013" s="5">
        <f>0.3/H1013</f>
        <v>6.9327093894882789E-3</v>
      </c>
      <c r="M1013" s="5">
        <v>0</v>
      </c>
      <c r="N1013" s="5">
        <v>0</v>
      </c>
      <c r="O1013" s="5">
        <v>0</v>
      </c>
      <c r="P1013" s="5">
        <v>0</v>
      </c>
    </row>
    <row r="1014" spans="1:16" x14ac:dyDescent="0.25">
      <c r="A1014" t="s">
        <v>942</v>
      </c>
      <c r="B1014" s="5">
        <v>44.045999999999999</v>
      </c>
      <c r="C1014" s="5">
        <v>-103.054</v>
      </c>
      <c r="D1014" s="5" t="s">
        <v>2104</v>
      </c>
      <c r="E1014" s="5">
        <v>1</v>
      </c>
      <c r="F1014" s="7">
        <v>1</v>
      </c>
      <c r="G1014">
        <v>11.5</v>
      </c>
      <c r="H1014" s="5">
        <f t="shared" si="29"/>
        <v>51.908124999999998</v>
      </c>
      <c r="I1014">
        <v>0</v>
      </c>
      <c r="J1014">
        <v>0</v>
      </c>
      <c r="K1014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</row>
    <row r="1015" spans="1:16" x14ac:dyDescent="0.25">
      <c r="A1015" t="s">
        <v>929</v>
      </c>
      <c r="B1015">
        <v>44.051000000000002</v>
      </c>
      <c r="C1015">
        <v>-101.601</v>
      </c>
      <c r="D1015" t="s">
        <v>2079</v>
      </c>
      <c r="E1015" s="5">
        <v>1</v>
      </c>
      <c r="F1015" s="7">
        <v>1</v>
      </c>
      <c r="G1015">
        <f>21.5/2</f>
        <v>10.75</v>
      </c>
      <c r="H1015" s="5">
        <f t="shared" si="29"/>
        <v>45.358281250000005</v>
      </c>
      <c r="I1015">
        <v>0</v>
      </c>
      <c r="J1015">
        <f>0.5/H1015</f>
        <v>1.1023345378634688E-2</v>
      </c>
      <c r="K1015">
        <v>0</v>
      </c>
      <c r="L1015">
        <v>0</v>
      </c>
      <c r="M1015">
        <v>0</v>
      </c>
      <c r="N1015">
        <v>0</v>
      </c>
      <c r="O1015" s="5">
        <v>0</v>
      </c>
      <c r="P1015" s="5">
        <v>0</v>
      </c>
    </row>
    <row r="1016" spans="1:16" x14ac:dyDescent="0.25">
      <c r="A1016" t="s">
        <v>789</v>
      </c>
      <c r="B1016">
        <v>44.052</v>
      </c>
      <c r="C1016">
        <v>-75.721999999999994</v>
      </c>
      <c r="D1016" t="s">
        <v>2227</v>
      </c>
      <c r="E1016" s="5">
        <v>1</v>
      </c>
      <c r="F1016" s="7">
        <v>0</v>
      </c>
      <c r="G1016">
        <v>12</v>
      </c>
      <c r="H1016" s="5">
        <f t="shared" si="29"/>
        <v>56.519999999999996</v>
      </c>
      <c r="I1016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</row>
    <row r="1017" spans="1:16" x14ac:dyDescent="0.25">
      <c r="A1017" t="s">
        <v>865</v>
      </c>
      <c r="B1017">
        <v>44.133000000000003</v>
      </c>
      <c r="C1017">
        <v>-123.214</v>
      </c>
      <c r="D1017" t="s">
        <v>2143</v>
      </c>
      <c r="E1017" s="5">
        <v>1</v>
      </c>
      <c r="F1017" s="7">
        <v>1</v>
      </c>
      <c r="G1017">
        <v>12.5</v>
      </c>
      <c r="H1017" s="5">
        <f t="shared" si="29"/>
        <v>61.328125</v>
      </c>
      <c r="I1017">
        <v>0</v>
      </c>
      <c r="J1017">
        <v>0</v>
      </c>
      <c r="K1017">
        <v>0</v>
      </c>
      <c r="L1017">
        <v>0</v>
      </c>
      <c r="M1017" s="5">
        <v>0</v>
      </c>
      <c r="N1017" s="5">
        <v>0</v>
      </c>
      <c r="O1017" s="5">
        <v>0</v>
      </c>
      <c r="P1017" s="5">
        <v>0</v>
      </c>
    </row>
    <row r="1018" spans="1:16" x14ac:dyDescent="0.25">
      <c r="A1018" t="s">
        <v>943</v>
      </c>
      <c r="B1018" s="5">
        <v>44.145000000000003</v>
      </c>
      <c r="C1018" s="5">
        <v>-103.104</v>
      </c>
      <c r="D1018" s="5" t="s">
        <v>2105</v>
      </c>
      <c r="E1018" s="5">
        <v>1</v>
      </c>
      <c r="F1018" s="7">
        <v>0</v>
      </c>
      <c r="G1018">
        <v>12</v>
      </c>
      <c r="H1018" s="5">
        <f t="shared" si="29"/>
        <v>56.519999999999996</v>
      </c>
      <c r="I1018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</row>
    <row r="1019" spans="1:16" x14ac:dyDescent="0.25">
      <c r="A1019" t="s">
        <v>1088</v>
      </c>
      <c r="B1019">
        <v>44.203000000000003</v>
      </c>
      <c r="C1019">
        <v>-72.578999999999994</v>
      </c>
      <c r="D1019" t="s">
        <v>2024</v>
      </c>
      <c r="E1019" s="5">
        <v>1</v>
      </c>
      <c r="F1019" s="7">
        <v>1</v>
      </c>
      <c r="G1019">
        <f>19.5/2</f>
        <v>9.75</v>
      </c>
      <c r="H1019" s="5">
        <f t="shared" ref="H1019:H1030" si="31">3.14*G1019*G1019/8</f>
        <v>37.312031250000004</v>
      </c>
      <c r="I1019">
        <f>8*3/2/H1019</f>
        <v>0.32161208055377577</v>
      </c>
      <c r="J1019">
        <f>3*3/H1019</f>
        <v>0.24120906041533183</v>
      </c>
      <c r="K1019">
        <f>4*3.5/2/H1019</f>
        <v>0.18760704698970254</v>
      </c>
      <c r="L1019">
        <f>4*4/2/H1019</f>
        <v>0.21440805370251717</v>
      </c>
      <c r="M1019">
        <f>2.5/H1019</f>
        <v>6.7002516782036614E-2</v>
      </c>
      <c r="N1019">
        <f>(H1019-7*3/2)/H1019</f>
        <v>0.71858942951544624</v>
      </c>
      <c r="O1019">
        <f>(H1019-6*3/2)/H1019</f>
        <v>0.75879093958466814</v>
      </c>
      <c r="P1019">
        <f>5.5/H1019</f>
        <v>0.14740553692048056</v>
      </c>
    </row>
    <row r="1020" spans="1:16" x14ac:dyDescent="0.25">
      <c r="A1020" t="s">
        <v>555</v>
      </c>
      <c r="B1020" s="5">
        <v>44.220999999999997</v>
      </c>
      <c r="C1020" s="5">
        <v>-93.917000000000002</v>
      </c>
      <c r="D1020" s="5" t="s">
        <v>2100</v>
      </c>
      <c r="E1020" s="5">
        <v>1</v>
      </c>
      <c r="F1020" s="7">
        <v>0</v>
      </c>
      <c r="G1020">
        <v>11.1</v>
      </c>
      <c r="H1020" s="5">
        <f t="shared" si="31"/>
        <v>48.359924999999997</v>
      </c>
      <c r="I1020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f>4/H1020</f>
        <v>8.2713114215954647E-2</v>
      </c>
      <c r="P1020" s="5">
        <v>0</v>
      </c>
    </row>
    <row r="1021" spans="1:16" x14ac:dyDescent="0.25">
      <c r="A1021" t="s">
        <v>853</v>
      </c>
      <c r="B1021" s="5">
        <v>44.253999999999998</v>
      </c>
      <c r="C1021" s="5">
        <v>-121.15</v>
      </c>
      <c r="D1021" s="5" t="s">
        <v>2131</v>
      </c>
      <c r="E1021" s="5">
        <v>1</v>
      </c>
      <c r="F1021" s="7">
        <v>0</v>
      </c>
      <c r="G1021">
        <v>12</v>
      </c>
      <c r="H1021" s="5">
        <f t="shared" si="31"/>
        <v>56.519999999999996</v>
      </c>
      <c r="I1021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</row>
    <row r="1022" spans="1:16" x14ac:dyDescent="0.25">
      <c r="A1022" t="s">
        <v>1143</v>
      </c>
      <c r="B1022">
        <v>44.256999999999998</v>
      </c>
      <c r="C1022">
        <v>-88.516999999999996</v>
      </c>
      <c r="D1022" t="s">
        <v>2067</v>
      </c>
      <c r="E1022" s="5">
        <v>1</v>
      </c>
      <c r="F1022" s="7">
        <v>0</v>
      </c>
      <c r="G1022">
        <v>10.25</v>
      </c>
      <c r="H1022" s="5">
        <f t="shared" si="31"/>
        <v>41.237031250000001</v>
      </c>
      <c r="I1022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</row>
    <row r="1023" spans="1:16" x14ac:dyDescent="0.25">
      <c r="A1023" t="s">
        <v>532</v>
      </c>
      <c r="B1023">
        <v>44.271999999999998</v>
      </c>
      <c r="C1023">
        <v>-86.233999999999995</v>
      </c>
      <c r="D1023" t="s">
        <v>2047</v>
      </c>
      <c r="E1023" s="5">
        <v>1</v>
      </c>
      <c r="F1023" s="7">
        <v>1</v>
      </c>
      <c r="G1023">
        <v>11</v>
      </c>
      <c r="H1023" s="5">
        <f t="shared" si="31"/>
        <v>47.4925</v>
      </c>
      <c r="I1023">
        <f>9.5*2.5/2/H1023</f>
        <v>0.25003947991788178</v>
      </c>
      <c r="J1023">
        <v>0</v>
      </c>
      <c r="K1023">
        <f>1/H1023</f>
        <v>2.1055956203611097E-2</v>
      </c>
      <c r="L1023">
        <f>(H1023-3.5*4.5/2)/H1023</f>
        <v>0.83418434489656257</v>
      </c>
      <c r="M1023">
        <f>7.5*7.5/2/H1023</f>
        <v>0.59219876822656214</v>
      </c>
      <c r="N1023">
        <f>6.5*3/2/H1023</f>
        <v>0.2052955729852082</v>
      </c>
      <c r="O1023">
        <v>0</v>
      </c>
      <c r="P1023">
        <f>5*3/2/H1023</f>
        <v>0.15791967152708322</v>
      </c>
    </row>
    <row r="1024" spans="1:16" x14ac:dyDescent="0.25">
      <c r="A1024" t="s">
        <v>928</v>
      </c>
      <c r="B1024" s="5">
        <v>44.302999999999997</v>
      </c>
      <c r="C1024" s="5">
        <v>-96.801000000000002</v>
      </c>
      <c r="D1024" t="s">
        <v>2078</v>
      </c>
      <c r="E1024" s="5">
        <v>1</v>
      </c>
      <c r="F1024" s="7">
        <v>1</v>
      </c>
      <c r="G1024">
        <v>10</v>
      </c>
      <c r="H1024" s="5">
        <f t="shared" si="31"/>
        <v>39.25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f>1.5/H1024</f>
        <v>3.8216560509554139E-2</v>
      </c>
      <c r="P1024">
        <v>0</v>
      </c>
    </row>
    <row r="1025" spans="1:16" x14ac:dyDescent="0.25">
      <c r="A1025" t="s">
        <v>499</v>
      </c>
      <c r="B1025" s="5">
        <v>44.320999999999998</v>
      </c>
      <c r="C1025" s="5">
        <v>-69.796999999999997</v>
      </c>
      <c r="D1025" s="5" t="s">
        <v>2031</v>
      </c>
      <c r="E1025" s="5">
        <v>1</v>
      </c>
      <c r="F1025" s="7">
        <v>1</v>
      </c>
      <c r="G1025">
        <v>10</v>
      </c>
      <c r="H1025" s="5">
        <f t="shared" si="31"/>
        <v>39.25</v>
      </c>
      <c r="I1025">
        <v>0</v>
      </c>
      <c r="J1025">
        <f>3.5/H1025</f>
        <v>8.9171974522292988E-2</v>
      </c>
      <c r="K1025">
        <f>(H1025-6.5*8/2)/H1025</f>
        <v>0.33757961783439489</v>
      </c>
      <c r="L1025">
        <f>(H1025-7*8/2)/H1025</f>
        <v>0.28662420382165604</v>
      </c>
      <c r="M1025" s="5">
        <f>(H1025-4.5*7/2)/H1025</f>
        <v>0.59872611464968151</v>
      </c>
      <c r="N1025" s="5">
        <f>(H1025-2.5*3/2)/H1025</f>
        <v>0.90445859872611467</v>
      </c>
      <c r="O1025" s="5">
        <f>(H1025-2.5*3/2)/H1025</f>
        <v>0.90445859872611467</v>
      </c>
      <c r="P1025" s="5">
        <f>6*7/2/H1025</f>
        <v>0.53503184713375795</v>
      </c>
    </row>
    <row r="1026" spans="1:16" x14ac:dyDescent="0.25">
      <c r="A1026" t="s">
        <v>1176</v>
      </c>
      <c r="B1026" s="5">
        <v>44.338999999999999</v>
      </c>
      <c r="C1026" s="5">
        <v>-105.542</v>
      </c>
      <c r="D1026" s="5" t="s">
        <v>2107</v>
      </c>
      <c r="E1026" s="5">
        <v>1</v>
      </c>
      <c r="F1026" s="7">
        <v>1</v>
      </c>
      <c r="G1026">
        <v>9.5</v>
      </c>
      <c r="H1026" s="5">
        <f t="shared" si="31"/>
        <v>35.423124999999999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</row>
    <row r="1027" spans="1:16" x14ac:dyDescent="0.25">
      <c r="A1027" t="s">
        <v>1141</v>
      </c>
      <c r="B1027" s="5">
        <v>44.359000000000002</v>
      </c>
      <c r="C1027" s="5">
        <v>-89.837000000000003</v>
      </c>
      <c r="D1027" s="5" t="s">
        <v>2065</v>
      </c>
      <c r="E1027" s="5">
        <v>1</v>
      </c>
      <c r="F1027" s="7">
        <v>1</v>
      </c>
      <c r="G1027">
        <f>23/2</f>
        <v>11.5</v>
      </c>
      <c r="H1027" s="5">
        <f t="shared" si="31"/>
        <v>51.908124999999998</v>
      </c>
      <c r="I1027">
        <v>0</v>
      </c>
      <c r="J1027">
        <f>2/H1027</f>
        <v>3.8529613620218416E-2</v>
      </c>
      <c r="K1027">
        <f>1/H1027</f>
        <v>1.9264806810109208E-2</v>
      </c>
      <c r="L1027">
        <f>7*4.5/2/H1027</f>
        <v>0.30342070725922005</v>
      </c>
      <c r="M1027">
        <f>4*6/2/H1027</f>
        <v>0.23117768172131051</v>
      </c>
      <c r="N1027">
        <v>0</v>
      </c>
      <c r="O1027">
        <v>0</v>
      </c>
      <c r="P1027">
        <v>0</v>
      </c>
    </row>
    <row r="1028" spans="1:16" x14ac:dyDescent="0.25">
      <c r="A1028" t="s">
        <v>692</v>
      </c>
      <c r="B1028">
        <v>44.366999999999997</v>
      </c>
      <c r="C1028">
        <v>-71.55</v>
      </c>
      <c r="D1028" t="s">
        <v>2027</v>
      </c>
      <c r="E1028">
        <v>1</v>
      </c>
      <c r="F1028" s="7">
        <v>0</v>
      </c>
      <c r="G1028">
        <v>10.3</v>
      </c>
      <c r="H1028" s="5">
        <f t="shared" si="31"/>
        <v>41.640325000000011</v>
      </c>
      <c r="I1028">
        <f>(H1028-5.5*6/2)/H1028</f>
        <v>0.60374949042784865</v>
      </c>
      <c r="J1028">
        <f>5*4.5/2/H1028</f>
        <v>0.27017080198101234</v>
      </c>
      <c r="K1028">
        <f>2.5/H1028</f>
        <v>6.0037955995780518E-2</v>
      </c>
      <c r="L1028">
        <f>7/H1028</f>
        <v>0.16810627678818543</v>
      </c>
      <c r="M1028">
        <f>3/H1028</f>
        <v>7.2045547194936624E-2</v>
      </c>
      <c r="N1028">
        <f>9/H1028</f>
        <v>0.21613664158480986</v>
      </c>
      <c r="O1028" s="5">
        <f>1/H1028</f>
        <v>2.4015182398312206E-2</v>
      </c>
      <c r="P1028" s="5">
        <f>7.5*5.5/2/H1028</f>
        <v>0.49531313696518925</v>
      </c>
    </row>
    <row r="1029" spans="1:16" x14ac:dyDescent="0.25">
      <c r="A1029" t="s">
        <v>531</v>
      </c>
      <c r="B1029" s="5">
        <v>44.368000000000002</v>
      </c>
      <c r="C1029" s="5">
        <v>-84.691000000000003</v>
      </c>
      <c r="D1029" s="5" t="s">
        <v>2046</v>
      </c>
      <c r="E1029" s="5">
        <v>1</v>
      </c>
      <c r="F1029" s="7">
        <v>0</v>
      </c>
      <c r="G1029">
        <v>11.5</v>
      </c>
      <c r="H1029" s="5">
        <f t="shared" si="31"/>
        <v>51.908124999999998</v>
      </c>
      <c r="I1029">
        <f>(H1029-7.5*9/2)/H1029</f>
        <v>0.34981277015881423</v>
      </c>
      <c r="J1029">
        <f>1/H1029</f>
        <v>1.9264806810109208E-2</v>
      </c>
      <c r="K1029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f>7.5*3/2/H1029</f>
        <v>0.21672907661372859</v>
      </c>
    </row>
    <row r="1030" spans="1:16" x14ac:dyDescent="0.25">
      <c r="A1030" t="s">
        <v>1177</v>
      </c>
      <c r="B1030" s="5">
        <v>44.381</v>
      </c>
      <c r="C1030" s="5">
        <v>-106.721</v>
      </c>
      <c r="D1030" s="5" t="s">
        <v>2108</v>
      </c>
      <c r="E1030" s="5">
        <v>1</v>
      </c>
      <c r="F1030" s="7">
        <v>1</v>
      </c>
      <c r="G1030">
        <f>21.5/2</f>
        <v>10.75</v>
      </c>
      <c r="H1030" s="5">
        <f t="shared" si="31"/>
        <v>45.358281250000005</v>
      </c>
      <c r="I1030">
        <v>0</v>
      </c>
      <c r="J1030">
        <f>1.5/H1030</f>
        <v>3.3070036135904063E-2</v>
      </c>
      <c r="K1030">
        <f>3/H1030</f>
        <v>6.6140072271808126E-2</v>
      </c>
      <c r="L1030">
        <f>7/H1030</f>
        <v>0.15432683530088565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t="s">
        <v>946</v>
      </c>
      <c r="B1031">
        <v>44.383000000000003</v>
      </c>
      <c r="C1031">
        <v>-100.286</v>
      </c>
      <c r="D1031" t="s">
        <v>2114</v>
      </c>
      <c r="E1031" s="5">
        <v>1</v>
      </c>
      <c r="F1031" s="7">
        <v>1</v>
      </c>
      <c r="G1031">
        <v>11</v>
      </c>
      <c r="H1031" s="5">
        <f>3.14*G1031*G1031/8</f>
        <v>47.4925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</row>
    <row r="1032" spans="1:16" x14ac:dyDescent="0.25">
      <c r="A1032" t="s">
        <v>936</v>
      </c>
      <c r="B1032" s="5">
        <v>44.384999999999998</v>
      </c>
      <c r="C1032" s="5">
        <v>-98.228999999999999</v>
      </c>
      <c r="D1032" s="5" t="s">
        <v>2086</v>
      </c>
      <c r="E1032" s="5">
        <v>1</v>
      </c>
      <c r="F1032" s="7">
        <v>1</v>
      </c>
      <c r="G1032">
        <v>12</v>
      </c>
      <c r="H1032" s="5">
        <f>3.14*G1032*G1032/8</f>
        <v>56.519999999999996</v>
      </c>
      <c r="I1032">
        <v>0</v>
      </c>
      <c r="J1032">
        <v>0</v>
      </c>
      <c r="K1032">
        <v>0</v>
      </c>
      <c r="L1032">
        <f>0.5/H1032</f>
        <v>8.8464260438782735E-3</v>
      </c>
      <c r="M1032">
        <f>1/H1032</f>
        <v>1.7692852087756547E-2</v>
      </c>
      <c r="N1032">
        <v>0</v>
      </c>
      <c r="O1032">
        <v>0</v>
      </c>
      <c r="P1032">
        <v>0</v>
      </c>
    </row>
    <row r="1033" spans="1:16" x14ac:dyDescent="0.25">
      <c r="A1033" t="s">
        <v>788</v>
      </c>
      <c r="B1033">
        <v>44.384999999999998</v>
      </c>
      <c r="C1033">
        <v>-74.206999999999994</v>
      </c>
      <c r="D1033" t="s">
        <v>2038</v>
      </c>
      <c r="E1033" s="5">
        <v>1</v>
      </c>
      <c r="F1033" s="7">
        <v>0</v>
      </c>
      <c r="G1033">
        <f>22.5/2</f>
        <v>11.25</v>
      </c>
      <c r="H1033" s="5">
        <f t="shared" ref="H1033:H1046" si="32">3.14*G1033*G1033/8</f>
        <v>49.675781250000007</v>
      </c>
      <c r="I1033">
        <v>0</v>
      </c>
      <c r="J1033">
        <f>3/H1033</f>
        <v>6.0391601792875671E-2</v>
      </c>
      <c r="K1033">
        <f>3/H1033</f>
        <v>6.0391601792875671E-2</v>
      </c>
      <c r="L1033">
        <v>0</v>
      </c>
      <c r="M1033">
        <v>0</v>
      </c>
      <c r="N1033">
        <v>0</v>
      </c>
      <c r="O1033">
        <f>4*5.5/2/H1033</f>
        <v>0.22143587324054412</v>
      </c>
      <c r="P1033">
        <f>4*7/2/H1033</f>
        <v>0.28182747503341982</v>
      </c>
    </row>
    <row r="1034" spans="1:16" x14ac:dyDescent="0.25">
      <c r="A1034" t="s">
        <v>495</v>
      </c>
      <c r="B1034">
        <v>44.442</v>
      </c>
      <c r="C1034">
        <v>-68.367000000000004</v>
      </c>
      <c r="D1034" t="s">
        <v>2019</v>
      </c>
      <c r="E1034" s="5">
        <v>1</v>
      </c>
      <c r="F1034" s="7">
        <v>0</v>
      </c>
      <c r="G1034">
        <f>19.4/2</f>
        <v>9.6999999999999993</v>
      </c>
      <c r="H1034" s="5">
        <f t="shared" si="32"/>
        <v>36.930324999999996</v>
      </c>
      <c r="I1034">
        <v>0</v>
      </c>
      <c r="J1034" s="5">
        <f>1.5/H1034</f>
        <v>4.0617026793021725E-2</v>
      </c>
      <c r="K1034" s="5">
        <f>7.5*8.5/2/H1034</f>
        <v>0.86311181935171177</v>
      </c>
      <c r="L1034" s="5">
        <f>6*6.5/2/H1034</f>
        <v>0.52802134830928249</v>
      </c>
      <c r="M1034" s="5">
        <f>5*5.5/2/H1034</f>
        <v>0.37232274560269918</v>
      </c>
      <c r="N1034" s="5">
        <f>4*6.5/2/H1034</f>
        <v>0.35201423220618833</v>
      </c>
      <c r="O1034" s="5">
        <f>3.5*7/2/H1034</f>
        <v>0.33170571880967742</v>
      </c>
      <c r="P1034" s="5">
        <f>8/H1034</f>
        <v>0.2166241428961159</v>
      </c>
    </row>
    <row r="1035" spans="1:16" x14ac:dyDescent="0.25">
      <c r="A1035" t="s">
        <v>550</v>
      </c>
      <c r="B1035">
        <v>44.45</v>
      </c>
      <c r="C1035">
        <v>-95.816999999999993</v>
      </c>
      <c r="D1035" t="s">
        <v>2093</v>
      </c>
      <c r="E1035" s="5">
        <v>1</v>
      </c>
      <c r="F1035" s="7">
        <v>0</v>
      </c>
      <c r="G1035">
        <v>10.4</v>
      </c>
      <c r="H1035" s="5">
        <f t="shared" si="32"/>
        <v>42.452800000000011</v>
      </c>
      <c r="I103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</row>
    <row r="1036" spans="1:16" x14ac:dyDescent="0.25">
      <c r="A1036" t="s">
        <v>535</v>
      </c>
      <c r="B1036">
        <v>44.453000000000003</v>
      </c>
      <c r="C1036">
        <v>-83.367999999999995</v>
      </c>
      <c r="D1036" t="s">
        <v>2050</v>
      </c>
      <c r="E1036" s="5">
        <v>1</v>
      </c>
      <c r="F1036" s="7">
        <v>0</v>
      </c>
      <c r="G1036">
        <f>22.3/2</f>
        <v>11.15</v>
      </c>
      <c r="H1036" s="5">
        <f t="shared" si="32"/>
        <v>48.796581250000003</v>
      </c>
      <c r="I1036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</row>
    <row r="1037" spans="1:16" x14ac:dyDescent="0.25">
      <c r="A1037" t="s">
        <v>1090</v>
      </c>
      <c r="B1037">
        <v>44.468000000000004</v>
      </c>
      <c r="C1037">
        <v>-73.150000000000006</v>
      </c>
      <c r="D1037" t="s">
        <v>2029</v>
      </c>
      <c r="E1037" s="5">
        <v>1</v>
      </c>
      <c r="F1037" s="7">
        <v>1</v>
      </c>
      <c r="G1037">
        <f>25.5/2</f>
        <v>12.75</v>
      </c>
      <c r="H1037" s="5">
        <f t="shared" si="32"/>
        <v>63.805781250000003</v>
      </c>
      <c r="I1037">
        <v>0</v>
      </c>
      <c r="J1037">
        <v>0</v>
      </c>
      <c r="K1037">
        <v>0</v>
      </c>
      <c r="L1037">
        <v>0</v>
      </c>
      <c r="M1037">
        <f>4*2.5/2/H1037</f>
        <v>7.8362805094561866E-2</v>
      </c>
      <c r="N1037">
        <f>3*4/2/H1037</f>
        <v>9.4035366113474239E-2</v>
      </c>
      <c r="O1037">
        <f>3*5/2/H1037</f>
        <v>0.1175442076418428</v>
      </c>
      <c r="P1037">
        <f>0.5/H1037</f>
        <v>7.8362805094561866E-3</v>
      </c>
    </row>
    <row r="1038" spans="1:16" x14ac:dyDescent="0.25">
      <c r="A1038" t="s">
        <v>1140</v>
      </c>
      <c r="B1038">
        <v>44.512999999999998</v>
      </c>
      <c r="C1038">
        <v>-88.12</v>
      </c>
      <c r="D1038" t="s">
        <v>2064</v>
      </c>
      <c r="E1038" s="5">
        <v>1</v>
      </c>
      <c r="F1038" s="7">
        <v>1</v>
      </c>
      <c r="G1038">
        <v>11</v>
      </c>
      <c r="H1038" s="5">
        <f t="shared" si="32"/>
        <v>47.4925</v>
      </c>
      <c r="I1038">
        <v>0</v>
      </c>
      <c r="J1038">
        <v>0</v>
      </c>
      <c r="K1038">
        <v>0</v>
      </c>
      <c r="L1038">
        <v>0</v>
      </c>
      <c r="M1038">
        <f>3.5/H1038</f>
        <v>7.3695846712638832E-2</v>
      </c>
      <c r="N1038">
        <f>2/H1038</f>
        <v>4.2111912407222195E-2</v>
      </c>
      <c r="O1038">
        <f>3*3.5/2/H1038</f>
        <v>0.11054377006895826</v>
      </c>
      <c r="P1038">
        <v>0</v>
      </c>
    </row>
    <row r="1039" spans="1:16" x14ac:dyDescent="0.25">
      <c r="A1039" t="s">
        <v>365</v>
      </c>
      <c r="B1039">
        <v>44.517000000000003</v>
      </c>
      <c r="C1039">
        <v>-114.217</v>
      </c>
      <c r="D1039" t="s">
        <v>1277</v>
      </c>
      <c r="E1039" s="5">
        <v>1</v>
      </c>
      <c r="F1039" s="7">
        <v>0</v>
      </c>
      <c r="G1039">
        <f>21.4/2</f>
        <v>10.7</v>
      </c>
      <c r="H1039" s="5">
        <f t="shared" si="32"/>
        <v>44.937324999999994</v>
      </c>
      <c r="I1039">
        <v>0</v>
      </c>
      <c r="J1039" s="5">
        <v>0</v>
      </c>
      <c r="K1039" s="5">
        <f>1/H1039</f>
        <v>2.225321600696081E-2</v>
      </c>
      <c r="L1039" s="5">
        <f>2/H1039</f>
        <v>4.4506432013921619E-2</v>
      </c>
      <c r="M1039" s="5">
        <v>0</v>
      </c>
      <c r="N1039" s="5">
        <v>0</v>
      </c>
      <c r="O1039" s="5">
        <v>0</v>
      </c>
      <c r="P1039" s="5">
        <v>0</v>
      </c>
    </row>
    <row r="1040" spans="1:16" x14ac:dyDescent="0.25">
      <c r="A1040" t="s">
        <v>1180</v>
      </c>
      <c r="B1040">
        <v>44.517000000000003</v>
      </c>
      <c r="C1040">
        <v>-108.08199999999999</v>
      </c>
      <c r="D1040" t="s">
        <v>2111</v>
      </c>
      <c r="E1040" s="5">
        <v>1</v>
      </c>
      <c r="F1040" s="7">
        <v>1</v>
      </c>
      <c r="G1040">
        <f>20.5/2</f>
        <v>10.25</v>
      </c>
      <c r="H1040" s="5">
        <f t="shared" si="32"/>
        <v>41.237031250000001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</row>
    <row r="1041" spans="1:16" x14ac:dyDescent="0.25">
      <c r="A1041" t="s">
        <v>1086</v>
      </c>
      <c r="B1041">
        <v>44.533999999999999</v>
      </c>
      <c r="C1041">
        <v>-72.614000000000004</v>
      </c>
      <c r="D1041" t="s">
        <v>2022</v>
      </c>
      <c r="E1041" s="5">
        <v>1</v>
      </c>
      <c r="F1041" s="7">
        <v>0</v>
      </c>
      <c r="G1041">
        <v>10.4</v>
      </c>
      <c r="H1041" s="5">
        <f t="shared" si="32"/>
        <v>42.452800000000011</v>
      </c>
      <c r="I1041">
        <v>0</v>
      </c>
      <c r="J1041">
        <f>4.9*5.5/2/H1041</f>
        <v>0.3174113368258395</v>
      </c>
      <c r="K1041">
        <f>(H1041-5.5*6.5/2)/H1041</f>
        <v>0.57894414502694769</v>
      </c>
      <c r="L1041">
        <f>3*6/2/H1041</f>
        <v>0.2120001507556627</v>
      </c>
      <c r="M1041">
        <f>0.6/H1041</f>
        <v>1.4133343383710847E-2</v>
      </c>
      <c r="N1041">
        <f>3*5/2/H1041</f>
        <v>0.1766667922963856</v>
      </c>
      <c r="O1041">
        <f>4*5.5/2/H1041</f>
        <v>0.25911129536803218</v>
      </c>
      <c r="P1041">
        <f>2.5/H1041</f>
        <v>5.888893076546186E-2</v>
      </c>
    </row>
    <row r="1042" spans="1:16" x14ac:dyDescent="0.25">
      <c r="A1042" t="s">
        <v>548</v>
      </c>
      <c r="B1042">
        <v>44.546999999999997</v>
      </c>
      <c r="C1042">
        <v>-95.081999999999994</v>
      </c>
      <c r="D1042" t="s">
        <v>2091</v>
      </c>
      <c r="E1042" s="5">
        <v>1</v>
      </c>
      <c r="F1042" s="7">
        <v>1</v>
      </c>
      <c r="G1042">
        <f>21.6/2</f>
        <v>10.8</v>
      </c>
      <c r="H1042" s="5">
        <f t="shared" si="32"/>
        <v>45.781200000000013</v>
      </c>
      <c r="I1042">
        <f>9*5/2/H1042</f>
        <v>0.49146811354879283</v>
      </c>
      <c r="J1042" s="5">
        <f>9*7/2/H1042</f>
        <v>0.68805535896830994</v>
      </c>
      <c r="K1042" s="5">
        <f>4.5*7.5/2/H1042</f>
        <v>0.36860108516159462</v>
      </c>
      <c r="L1042" s="5">
        <f>3/H1042</f>
        <v>6.5529081806505712E-2</v>
      </c>
      <c r="M1042" s="5">
        <f>1/H1042</f>
        <v>2.1843027268835236E-2</v>
      </c>
      <c r="N1042" s="5">
        <v>0</v>
      </c>
      <c r="O1042" s="5">
        <v>0</v>
      </c>
      <c r="P1042" s="5">
        <f>5*2.8/2/H1042</f>
        <v>0.15290119088184664</v>
      </c>
    </row>
    <row r="1043" spans="1:16" x14ac:dyDescent="0.25">
      <c r="A1043" t="s">
        <v>867</v>
      </c>
      <c r="B1043" s="5">
        <v>44.575000000000003</v>
      </c>
      <c r="C1043" s="5">
        <v>-124.051</v>
      </c>
      <c r="D1043" s="5" t="s">
        <v>2145</v>
      </c>
      <c r="E1043" s="5">
        <v>1</v>
      </c>
      <c r="F1043" s="7">
        <v>1</v>
      </c>
      <c r="G1043">
        <f>20.5/2</f>
        <v>10.25</v>
      </c>
      <c r="H1043" s="5">
        <f t="shared" si="32"/>
        <v>41.237031250000001</v>
      </c>
      <c r="I1043">
        <f>4.5*3.7/2/H1043</f>
        <v>0.20188165218610399</v>
      </c>
      <c r="J1043">
        <f>6*3.5/2/H1043</f>
        <v>0.25462550726175276</v>
      </c>
      <c r="K1043">
        <v>0</v>
      </c>
      <c r="L1043">
        <f>6*3.5/2/H1043</f>
        <v>0.25462550726175276</v>
      </c>
      <c r="M1043">
        <f>3/H1043</f>
        <v>7.2750144931929356E-2</v>
      </c>
      <c r="N1043">
        <f>2/H1043</f>
        <v>4.8500096621286237E-2</v>
      </c>
      <c r="O1043">
        <f>1.2/H1043</f>
        <v>2.910005797277174E-2</v>
      </c>
      <c r="P1043">
        <f>1/H1043</f>
        <v>2.4250048310643119E-2</v>
      </c>
    </row>
    <row r="1044" spans="1:16" x14ac:dyDescent="0.25">
      <c r="A1044" t="s">
        <v>690</v>
      </c>
      <c r="B1044" s="5">
        <v>44.576000000000001</v>
      </c>
      <c r="C1044" s="5">
        <v>-71.179000000000002</v>
      </c>
      <c r="D1044" s="5" t="s">
        <v>2025</v>
      </c>
      <c r="E1044">
        <v>1</v>
      </c>
      <c r="F1044" s="7">
        <v>1</v>
      </c>
      <c r="G1044">
        <v>11</v>
      </c>
      <c r="H1044" s="5">
        <f t="shared" si="32"/>
        <v>47.4925</v>
      </c>
      <c r="I1044">
        <f>4/H1044</f>
        <v>8.422382481444439E-2</v>
      </c>
      <c r="J1044">
        <f>(H1044-6*6/2)/H1044</f>
        <v>0.62099278833500027</v>
      </c>
      <c r="K1044">
        <f>(H1044-6*6/2)/H1044</f>
        <v>0.62099278833500027</v>
      </c>
      <c r="L1044">
        <f>2.6*1.7/H1044</f>
        <v>9.3067326419961044E-2</v>
      </c>
      <c r="M1044">
        <f>3*3/2/H1044</f>
        <v>9.4751802916249933E-2</v>
      </c>
      <c r="N1044">
        <f>3*2.5/H1044</f>
        <v>0.15791967152708322</v>
      </c>
      <c r="O1044">
        <f>7*7/2/H1044</f>
        <v>0.51587092698847181</v>
      </c>
      <c r="P1044">
        <f>9*5.5/2/H1044</f>
        <v>0.52113491603937467</v>
      </c>
    </row>
    <row r="1045" spans="1:16" x14ac:dyDescent="0.25">
      <c r="A1045" t="s">
        <v>1152</v>
      </c>
      <c r="B1045" s="5">
        <v>44.637</v>
      </c>
      <c r="C1045" s="5">
        <v>-90.188999999999993</v>
      </c>
      <c r="D1045" s="5" t="s">
        <v>2095</v>
      </c>
      <c r="E1045">
        <v>1</v>
      </c>
      <c r="F1045" s="7">
        <v>1</v>
      </c>
      <c r="G1045" s="5">
        <f>20.5/2</f>
        <v>10.25</v>
      </c>
      <c r="H1045" s="5">
        <f t="shared" si="32"/>
        <v>41.237031250000001</v>
      </c>
      <c r="I1045" s="5">
        <f>4/H1045</f>
        <v>9.7000193242572474E-2</v>
      </c>
      <c r="J1045" s="5">
        <f>3/H1045</f>
        <v>7.2750144931929356E-2</v>
      </c>
      <c r="K1045" s="5">
        <v>0</v>
      </c>
      <c r="L1045" s="5">
        <v>0</v>
      </c>
      <c r="M1045" s="5">
        <v>0</v>
      </c>
      <c r="N1045" s="5">
        <v>0</v>
      </c>
      <c r="O1045" s="5">
        <f>2.5*4.5/2/H1045</f>
        <v>0.13640652174736753</v>
      </c>
      <c r="P1045" s="5">
        <v>0</v>
      </c>
    </row>
    <row r="1046" spans="1:16" x14ac:dyDescent="0.25">
      <c r="A1046" t="s">
        <v>786</v>
      </c>
      <c r="B1046" s="5">
        <v>44.65</v>
      </c>
      <c r="C1046" s="5">
        <v>-73.466999999999999</v>
      </c>
      <c r="D1046" s="5" t="s">
        <v>2035</v>
      </c>
      <c r="E1046">
        <v>1</v>
      </c>
      <c r="F1046" s="7">
        <v>0</v>
      </c>
      <c r="G1046">
        <v>10.9</v>
      </c>
      <c r="H1046" s="5">
        <f t="shared" si="32"/>
        <v>46.632925</v>
      </c>
      <c r="I1046">
        <v>0</v>
      </c>
      <c r="J1046">
        <v>0</v>
      </c>
      <c r="K1046">
        <v>0</v>
      </c>
      <c r="L1046">
        <v>0</v>
      </c>
      <c r="M1046">
        <f>1.3/H1046</f>
        <v>2.7877299140038933E-2</v>
      </c>
      <c r="N1046">
        <v>0</v>
      </c>
      <c r="O1046">
        <f>4.3*2.5/2/H1046</f>
        <v>0.1152619099059302</v>
      </c>
      <c r="P1046">
        <f>1.3/H1046</f>
        <v>2.7877299140038933E-2</v>
      </c>
    </row>
    <row r="1047" spans="1:16" x14ac:dyDescent="0.25">
      <c r="A1047" t="s">
        <v>775</v>
      </c>
      <c r="B1047" s="5">
        <v>44.686999999999998</v>
      </c>
      <c r="C1047" s="5">
        <v>-73.522999999999996</v>
      </c>
      <c r="D1047" s="5" t="s">
        <v>1870</v>
      </c>
      <c r="E1047" s="5">
        <v>1</v>
      </c>
      <c r="F1047" s="7">
        <v>0</v>
      </c>
      <c r="G1047">
        <v>11.2</v>
      </c>
      <c r="H1047" s="5">
        <f t="shared" ref="H1047:H1058" si="33">3.14*G1047*G1047/8</f>
        <v>49.235199999999999</v>
      </c>
      <c r="I1047">
        <f>1.5/H1047</f>
        <v>3.0466008059274664E-2</v>
      </c>
      <c r="J1047">
        <v>0</v>
      </c>
      <c r="K1047">
        <f>5/H1047</f>
        <v>0.10155336019758222</v>
      </c>
      <c r="L1047">
        <v>0</v>
      </c>
      <c r="M1047" s="5">
        <v>0</v>
      </c>
      <c r="N1047" s="5">
        <v>0</v>
      </c>
      <c r="O1047" s="5">
        <v>0</v>
      </c>
      <c r="P1047" s="5">
        <v>0</v>
      </c>
    </row>
    <row r="1048" spans="1:16" x14ac:dyDescent="0.25">
      <c r="A1048" t="s">
        <v>941</v>
      </c>
      <c r="B1048">
        <v>44.732999999999997</v>
      </c>
      <c r="C1048">
        <v>-103.867</v>
      </c>
      <c r="D1048" t="s">
        <v>2103</v>
      </c>
      <c r="E1048" s="5">
        <v>1</v>
      </c>
      <c r="F1048" s="7">
        <v>1</v>
      </c>
      <c r="G1048">
        <v>11</v>
      </c>
      <c r="H1048" s="5">
        <f t="shared" si="33"/>
        <v>47.4925</v>
      </c>
      <c r="I1048">
        <v>0</v>
      </c>
      <c r="J1048">
        <v>0</v>
      </c>
      <c r="K1048">
        <v>0</v>
      </c>
      <c r="L1048">
        <f>1.4/H1048</f>
        <v>2.9478338685055533E-2</v>
      </c>
      <c r="M1048">
        <f>2*3/H1048</f>
        <v>0.12633573722166658</v>
      </c>
      <c r="N1048">
        <v>0</v>
      </c>
      <c r="O1048">
        <v>0</v>
      </c>
      <c r="P1048">
        <v>0</v>
      </c>
    </row>
    <row r="1049" spans="1:16" x14ac:dyDescent="0.25">
      <c r="A1049" t="s">
        <v>533</v>
      </c>
      <c r="B1049" s="5">
        <v>44.741</v>
      </c>
      <c r="C1049" s="5">
        <v>-85.582999999999998</v>
      </c>
      <c r="D1049" t="s">
        <v>2048</v>
      </c>
      <c r="E1049" s="5">
        <v>1</v>
      </c>
      <c r="F1049" s="7">
        <v>0</v>
      </c>
      <c r="G1049">
        <f>24.7/2</f>
        <v>12.35</v>
      </c>
      <c r="H1049" s="5">
        <f t="shared" si="33"/>
        <v>59.865081250000003</v>
      </c>
      <c r="I1049">
        <f>2.5/H1049</f>
        <v>4.1760571401546369E-2</v>
      </c>
      <c r="J1049" s="5">
        <v>0</v>
      </c>
      <c r="K1049" s="5">
        <v>0</v>
      </c>
      <c r="L1049" s="5">
        <f>3/H1049</f>
        <v>5.0112685681855645E-2</v>
      </c>
      <c r="M1049" s="5">
        <v>0</v>
      </c>
      <c r="N1049" s="5">
        <v>0</v>
      </c>
      <c r="O1049" s="5">
        <v>0</v>
      </c>
      <c r="P1049" s="5">
        <f>2.3/H1049</f>
        <v>3.841972568942266E-2</v>
      </c>
    </row>
    <row r="1050" spans="1:16" x14ac:dyDescent="0.25">
      <c r="A1050" t="s">
        <v>1178</v>
      </c>
      <c r="B1050">
        <v>44.774000000000001</v>
      </c>
      <c r="C1050">
        <v>-106.976</v>
      </c>
      <c r="D1050" t="s">
        <v>2109</v>
      </c>
      <c r="E1050" s="5">
        <v>1</v>
      </c>
      <c r="F1050" s="7">
        <v>0</v>
      </c>
      <c r="G1050">
        <v>10.1</v>
      </c>
      <c r="H1050" s="5">
        <f t="shared" si="33"/>
        <v>40.038924999999999</v>
      </c>
      <c r="I1050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</row>
    <row r="1051" spans="1:16" x14ac:dyDescent="0.25">
      <c r="A1051" t="s">
        <v>1147</v>
      </c>
      <c r="B1051">
        <v>44.777999999999999</v>
      </c>
      <c r="C1051">
        <v>-89.667000000000002</v>
      </c>
      <c r="D1051" t="s">
        <v>2069</v>
      </c>
      <c r="E1051">
        <v>1</v>
      </c>
      <c r="F1051" s="7">
        <v>0</v>
      </c>
      <c r="G1051">
        <f>23.3/2</f>
        <v>11.65</v>
      </c>
      <c r="H1051" s="5">
        <f t="shared" si="33"/>
        <v>53.271081250000009</v>
      </c>
      <c r="I1051">
        <v>0</v>
      </c>
      <c r="J1051">
        <f>3/H1051</f>
        <v>5.6315733219700688E-2</v>
      </c>
      <c r="K1051">
        <f>5.58*7/2/H1051</f>
        <v>0.36661542326025148</v>
      </c>
      <c r="L1051">
        <f>10*8.5/2/H1051</f>
        <v>0.79780622061242645</v>
      </c>
      <c r="M1051">
        <f>6.5*3/2/H1051</f>
        <v>0.18302613296402723</v>
      </c>
      <c r="N1051">
        <v>0</v>
      </c>
      <c r="O1051">
        <v>0</v>
      </c>
      <c r="P1051">
        <v>0</v>
      </c>
    </row>
    <row r="1052" spans="1:16" x14ac:dyDescent="0.25">
      <c r="A1052" t="s">
        <v>493</v>
      </c>
      <c r="B1052" s="2">
        <v>44.8</v>
      </c>
      <c r="C1052" s="2">
        <v>-68.816999999999993</v>
      </c>
      <c r="D1052" s="2" t="s">
        <v>2018</v>
      </c>
      <c r="E1052" s="5">
        <v>1</v>
      </c>
      <c r="F1052" s="7">
        <v>1</v>
      </c>
      <c r="G1052">
        <f>24.5/2</f>
        <v>12.25</v>
      </c>
      <c r="H1052" s="5">
        <f t="shared" si="33"/>
        <v>58.899531250000003</v>
      </c>
      <c r="I1052">
        <v>0</v>
      </c>
      <c r="J1052">
        <v>0</v>
      </c>
      <c r="K1052">
        <v>0</v>
      </c>
      <c r="L1052">
        <v>0</v>
      </c>
      <c r="M1052">
        <f>1.25/H1052</f>
        <v>2.1222579763739629E-2</v>
      </c>
      <c r="N1052">
        <f>6*2.5/2/H1052</f>
        <v>0.12733547858243777</v>
      </c>
      <c r="O1052">
        <f>6*8/2/H1052</f>
        <v>0.40747353146380089</v>
      </c>
      <c r="P1052">
        <f>2.5*3/2/H1052</f>
        <v>6.3667739291218883E-2</v>
      </c>
    </row>
    <row r="1053" spans="1:16" x14ac:dyDescent="0.25">
      <c r="A1053" t="s">
        <v>494</v>
      </c>
      <c r="B1053" s="2">
        <v>44.808</v>
      </c>
      <c r="C1053" s="2">
        <v>-68.823999999999998</v>
      </c>
      <c r="D1053" s="2" t="s">
        <v>2309</v>
      </c>
      <c r="E1053">
        <v>1</v>
      </c>
      <c r="F1053" s="7">
        <v>1</v>
      </c>
      <c r="G1053" s="5">
        <f>24.5/2</f>
        <v>12.25</v>
      </c>
      <c r="H1053" s="5">
        <f t="shared" si="33"/>
        <v>58.899531250000003</v>
      </c>
      <c r="I1053" s="5">
        <v>0</v>
      </c>
      <c r="J1053" s="5">
        <v>0</v>
      </c>
      <c r="K1053" s="5">
        <v>0</v>
      </c>
      <c r="L1053" s="5">
        <v>0</v>
      </c>
      <c r="M1053" s="5">
        <f>1.25/H1053</f>
        <v>2.1222579763739629E-2</v>
      </c>
      <c r="N1053" s="5">
        <f>6*2.5/2/H1053</f>
        <v>0.12733547858243777</v>
      </c>
      <c r="O1053" s="5">
        <f>6*8/2/H1053</f>
        <v>0.40747353146380089</v>
      </c>
      <c r="P1053" s="5">
        <f>2.5*3/2/H1053</f>
        <v>6.3667739291218883E-2</v>
      </c>
    </row>
    <row r="1054" spans="1:16" x14ac:dyDescent="0.25">
      <c r="A1054" t="s">
        <v>497</v>
      </c>
      <c r="B1054" s="2">
        <v>44.808</v>
      </c>
      <c r="C1054" s="2">
        <v>-68.823999999999998</v>
      </c>
      <c r="D1054" s="2" t="s">
        <v>2309</v>
      </c>
      <c r="E1054">
        <v>1</v>
      </c>
      <c r="F1054" s="7">
        <v>1</v>
      </c>
      <c r="G1054" s="5">
        <f>24.5/2</f>
        <v>12.25</v>
      </c>
      <c r="H1054" s="5">
        <f t="shared" si="33"/>
        <v>58.899531250000003</v>
      </c>
      <c r="I1054" s="5">
        <v>0</v>
      </c>
      <c r="J1054" s="5">
        <v>0</v>
      </c>
      <c r="K1054" s="5">
        <v>0</v>
      </c>
      <c r="L1054" s="5">
        <v>0</v>
      </c>
      <c r="M1054" s="5">
        <f>1.25/H1054</f>
        <v>2.1222579763739629E-2</v>
      </c>
      <c r="N1054" s="5">
        <f>6*2.5/2/H1054</f>
        <v>0.12733547858243777</v>
      </c>
      <c r="O1054" s="5">
        <f>6*8/2/H1054</f>
        <v>0.40747353146380089</v>
      </c>
      <c r="P1054" s="5">
        <f>2.5*3/2/H1054</f>
        <v>6.3667739291218883E-2</v>
      </c>
    </row>
    <row r="1055" spans="1:16" x14ac:dyDescent="0.25">
      <c r="A1055" t="s">
        <v>552</v>
      </c>
      <c r="B1055" s="5">
        <v>44.832000000000001</v>
      </c>
      <c r="C1055" s="5">
        <v>-93.47</v>
      </c>
      <c r="D1055" s="5" t="s">
        <v>2097</v>
      </c>
      <c r="E1055">
        <v>1</v>
      </c>
      <c r="F1055" s="7">
        <v>0</v>
      </c>
      <c r="G1055">
        <f>21.8/2</f>
        <v>10.9</v>
      </c>
      <c r="H1055" s="5">
        <f t="shared" si="33"/>
        <v>46.632925</v>
      </c>
      <c r="I1055">
        <f>4*3.5/2/H1055</f>
        <v>0.15010853383097886</v>
      </c>
      <c r="J105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>
        <f>4/H1055</f>
        <v>8.5776305046273635E-2</v>
      </c>
    </row>
    <row r="1056" spans="1:16" x14ac:dyDescent="0.25">
      <c r="A1056" t="s">
        <v>862</v>
      </c>
      <c r="B1056">
        <v>44.838000000000001</v>
      </c>
      <c r="C1056">
        <v>-117.81</v>
      </c>
      <c r="D1056" t="s">
        <v>2140</v>
      </c>
      <c r="E1056">
        <v>1</v>
      </c>
      <c r="F1056" s="7">
        <v>1</v>
      </c>
      <c r="G1056">
        <f>23.5/2</f>
        <v>11.75</v>
      </c>
      <c r="H1056" s="5">
        <f t="shared" si="33"/>
        <v>54.189531250000002</v>
      </c>
      <c r="I1056">
        <v>0</v>
      </c>
      <c r="J1056">
        <v>0</v>
      </c>
      <c r="K1056">
        <v>0</v>
      </c>
      <c r="L1056">
        <f>2/H1056</f>
        <v>3.6907497700489886E-2</v>
      </c>
      <c r="M1056">
        <f>2.5/H1056</f>
        <v>4.6134372125612361E-2</v>
      </c>
      <c r="N1056">
        <f>3/H1056</f>
        <v>5.5361246550734836E-2</v>
      </c>
      <c r="O1056">
        <v>0</v>
      </c>
      <c r="P1056">
        <v>0</v>
      </c>
    </row>
    <row r="1057" spans="1:16" x14ac:dyDescent="0.25">
      <c r="A1057" t="s">
        <v>1137</v>
      </c>
      <c r="B1057" s="5">
        <v>44.865000000000002</v>
      </c>
      <c r="C1057" s="5">
        <v>-91.484999999999999</v>
      </c>
      <c r="D1057" s="5" t="s">
        <v>2060</v>
      </c>
      <c r="E1057">
        <v>1</v>
      </c>
      <c r="F1057" s="7">
        <v>1</v>
      </c>
      <c r="G1057">
        <v>11</v>
      </c>
      <c r="H1057" s="5">
        <f t="shared" si="33"/>
        <v>47.4925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</row>
    <row r="1058" spans="1:16" x14ac:dyDescent="0.25">
      <c r="A1058" t="s">
        <v>369</v>
      </c>
      <c r="B1058" s="5">
        <v>44.883000000000003</v>
      </c>
      <c r="C1058" s="5">
        <v>-116.1</v>
      </c>
      <c r="D1058" s="5" t="s">
        <v>2000</v>
      </c>
      <c r="E1058">
        <v>1</v>
      </c>
      <c r="F1058" s="7">
        <v>0</v>
      </c>
      <c r="G1058">
        <f>23.8/2</f>
        <v>11.9</v>
      </c>
      <c r="H1058" s="5">
        <f t="shared" si="33"/>
        <v>55.581924999999998</v>
      </c>
      <c r="I1058">
        <v>0</v>
      </c>
      <c r="J1058">
        <f>5.5/H1058</f>
        <v>9.8953031943388073E-2</v>
      </c>
      <c r="K1058">
        <v>0</v>
      </c>
      <c r="L1058" s="5">
        <v>0</v>
      </c>
      <c r="M1058" s="5">
        <f>0.2/H1058</f>
        <v>3.5982920706686575E-3</v>
      </c>
      <c r="N1058" s="5">
        <f>0.3/H1058</f>
        <v>5.397438106002986E-3</v>
      </c>
      <c r="O1058" s="5">
        <f>9*4.5/2/H1058</f>
        <v>0.36432707215520155</v>
      </c>
      <c r="P1058" s="5">
        <f>4.5*4/2/H1058</f>
        <v>0.16192314318008957</v>
      </c>
    </row>
    <row r="1059" spans="1:16" x14ac:dyDescent="0.25">
      <c r="A1059" t="s">
        <v>553</v>
      </c>
      <c r="B1059" s="5">
        <v>44.883000000000003</v>
      </c>
      <c r="C1059" s="5">
        <v>-93.228999999999999</v>
      </c>
      <c r="D1059" s="5" t="s">
        <v>2098</v>
      </c>
      <c r="E1059">
        <v>1</v>
      </c>
      <c r="F1059" s="7">
        <v>1</v>
      </c>
      <c r="G1059">
        <v>11</v>
      </c>
      <c r="H1059" s="5">
        <f>3.14*G1059*G1059/8</f>
        <v>47.4925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t="s">
        <v>866</v>
      </c>
      <c r="B1060">
        <v>44.908000000000001</v>
      </c>
      <c r="C1060">
        <v>-122.995</v>
      </c>
      <c r="D1060" t="s">
        <v>2144</v>
      </c>
      <c r="E1060">
        <v>1</v>
      </c>
      <c r="F1060" s="7">
        <v>1</v>
      </c>
      <c r="G1060">
        <v>11</v>
      </c>
      <c r="H1060" s="5">
        <f>3.14*G1060*G1060/8</f>
        <v>47.4925</v>
      </c>
      <c r="I1060">
        <v>0</v>
      </c>
      <c r="J1060">
        <v>0</v>
      </c>
      <c r="K1060">
        <v>0</v>
      </c>
      <c r="L1060">
        <v>0</v>
      </c>
      <c r="M1060">
        <f>2/H1060</f>
        <v>4.2111912407222195E-2</v>
      </c>
      <c r="N1060">
        <f>1/H1060</f>
        <v>2.1055956203611097E-2</v>
      </c>
      <c r="O1060">
        <f>0.8/H1060</f>
        <v>1.6844764962888878E-2</v>
      </c>
      <c r="P1060">
        <v>0</v>
      </c>
    </row>
    <row r="1061" spans="1:16" x14ac:dyDescent="0.25">
      <c r="A1061" t="s">
        <v>1145</v>
      </c>
      <c r="B1061" s="2">
        <v>44.929000000000002</v>
      </c>
      <c r="C1061" s="2">
        <v>-89.626999999999995</v>
      </c>
      <c r="D1061" s="2" t="s">
        <v>2308</v>
      </c>
      <c r="E1061" s="5">
        <v>1</v>
      </c>
      <c r="F1061" s="7">
        <v>1</v>
      </c>
      <c r="G1061" s="5">
        <f>22.5/2</f>
        <v>11.25</v>
      </c>
      <c r="H1061" s="5">
        <f>3.14*G1061*G1061/8</f>
        <v>49.675781250000007</v>
      </c>
      <c r="I1061" s="5">
        <f>(H1061-6*7/2)/H1061</f>
        <v>0.57725878744987036</v>
      </c>
      <c r="J1061" s="5">
        <f>(H1061-9.5*4.5/2)/H1061</f>
        <v>0.56970983722576085</v>
      </c>
      <c r="K1061" s="5">
        <f>1.5/H1061</f>
        <v>3.0195800896437835E-2</v>
      </c>
      <c r="L1061" s="5">
        <v>0</v>
      </c>
      <c r="M1061" s="5">
        <f>1/H1061</f>
        <v>2.0130533930958556E-2</v>
      </c>
      <c r="N1061" s="5">
        <f>4*1.5/2/H1061</f>
        <v>6.0391601792875671E-2</v>
      </c>
      <c r="O1061" s="5">
        <v>0</v>
      </c>
      <c r="P1061" s="5">
        <f>8*5.5/2/H1061</f>
        <v>0.44287174648108824</v>
      </c>
    </row>
    <row r="1062" spans="1:16" x14ac:dyDescent="0.25">
      <c r="A1062" t="s">
        <v>1146</v>
      </c>
      <c r="B1062" s="2">
        <v>44.929000000000002</v>
      </c>
      <c r="C1062" s="2">
        <v>-89.626999999999995</v>
      </c>
      <c r="D1062" s="2" t="s">
        <v>2308</v>
      </c>
      <c r="E1062" s="5">
        <v>1</v>
      </c>
      <c r="F1062" s="7">
        <v>1</v>
      </c>
      <c r="G1062" s="5">
        <f>22.5/2</f>
        <v>11.25</v>
      </c>
      <c r="H1062" s="5">
        <f>3.14*G1062*G1062/8</f>
        <v>49.675781250000007</v>
      </c>
      <c r="I1062" s="5">
        <f>(H1062-6*7/2)/H1062</f>
        <v>0.57725878744987036</v>
      </c>
      <c r="J1062" s="5">
        <f>(H1062-9.5*4.5/2)/H1062</f>
        <v>0.56970983722576085</v>
      </c>
      <c r="K1062" s="5">
        <f>1.5/H1062</f>
        <v>3.0195800896437835E-2</v>
      </c>
      <c r="L1062" s="5">
        <v>0</v>
      </c>
      <c r="M1062" s="5">
        <f>1/H1062</f>
        <v>2.0130533930958556E-2</v>
      </c>
      <c r="N1062" s="5">
        <f>4*1.5/2/H1062</f>
        <v>6.0391601792875671E-2</v>
      </c>
      <c r="O1062" s="5">
        <v>0</v>
      </c>
      <c r="P1062" s="5">
        <f>8*5.5/2/H1062</f>
        <v>0.44287174648108824</v>
      </c>
    </row>
    <row r="1063" spans="1:16" x14ac:dyDescent="0.25">
      <c r="A1063" t="s">
        <v>1144</v>
      </c>
      <c r="B1063" s="2">
        <v>44.929000000000002</v>
      </c>
      <c r="C1063" s="2">
        <v>-89.626999999999995</v>
      </c>
      <c r="D1063" s="2" t="s">
        <v>2068</v>
      </c>
      <c r="E1063" s="5">
        <v>1</v>
      </c>
      <c r="F1063" s="7">
        <v>1</v>
      </c>
      <c r="G1063">
        <f>22.5/2</f>
        <v>11.25</v>
      </c>
      <c r="H1063" s="5">
        <f>3.14*G1063*G1063/8</f>
        <v>49.675781250000007</v>
      </c>
      <c r="I1063">
        <f>(H1063-6*7/2)/H1063</f>
        <v>0.57725878744987036</v>
      </c>
      <c r="J1063" s="5">
        <f>(H1063-9.5*4.5/2)/H1063</f>
        <v>0.56970983722576085</v>
      </c>
      <c r="K1063" s="5">
        <f>1.5/H1063</f>
        <v>3.0195800896437835E-2</v>
      </c>
      <c r="L1063" s="5">
        <v>0</v>
      </c>
      <c r="M1063" s="5">
        <f>1/H1063</f>
        <v>2.0130533930958556E-2</v>
      </c>
      <c r="N1063" s="5">
        <f>4*1.5/2/H1063</f>
        <v>6.0391601792875671E-2</v>
      </c>
      <c r="O1063" s="5">
        <v>0</v>
      </c>
      <c r="P1063" s="5">
        <f>8*5.5/2/H1063</f>
        <v>0.44287174648108824</v>
      </c>
    </row>
    <row r="1064" spans="1:16" x14ac:dyDescent="0.25">
      <c r="A1064" t="s">
        <v>554</v>
      </c>
      <c r="B1064" s="5">
        <v>44.93</v>
      </c>
      <c r="C1064" s="5">
        <v>-93.048000000000002</v>
      </c>
      <c r="D1064" t="s">
        <v>2099</v>
      </c>
      <c r="E1064">
        <v>1</v>
      </c>
      <c r="F1064" s="7">
        <v>1</v>
      </c>
      <c r="G1064">
        <f>24.8/2</f>
        <v>12.4</v>
      </c>
      <c r="H1064" s="5">
        <f t="shared" ref="H1064:H1088" si="34">3.14*G1064*G1064/8</f>
        <v>60.3508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t="s">
        <v>938</v>
      </c>
      <c r="B1065" s="5">
        <v>44.930999999999997</v>
      </c>
      <c r="C1065" s="5">
        <v>-97.153999999999996</v>
      </c>
      <c r="D1065" s="5" t="s">
        <v>2088</v>
      </c>
      <c r="E1065" s="5">
        <v>1</v>
      </c>
      <c r="F1065" s="7">
        <v>0</v>
      </c>
      <c r="G1065">
        <v>10.5</v>
      </c>
      <c r="H1065" s="5">
        <f t="shared" si="34"/>
        <v>43.273125</v>
      </c>
      <c r="I1065">
        <v>0</v>
      </c>
      <c r="J1065">
        <v>0</v>
      </c>
      <c r="K1065">
        <v>0</v>
      </c>
      <c r="L1065" s="5">
        <v>0</v>
      </c>
      <c r="M1065" s="5">
        <f>0.2/H1065</f>
        <v>4.6218062596588535E-3</v>
      </c>
      <c r="N1065" s="5">
        <f>0.6/H1065</f>
        <v>1.3865418778976558E-2</v>
      </c>
      <c r="O1065" s="5">
        <v>0</v>
      </c>
      <c r="P1065" s="5">
        <v>0</v>
      </c>
    </row>
    <row r="1066" spans="1:16" x14ac:dyDescent="0.25">
      <c r="A1066" t="s">
        <v>785</v>
      </c>
      <c r="B1066" s="2">
        <v>44.936</v>
      </c>
      <c r="C1066" s="2">
        <v>-74.846000000000004</v>
      </c>
      <c r="D1066" s="2" t="s">
        <v>2307</v>
      </c>
      <c r="E1066" s="5">
        <v>1</v>
      </c>
      <c r="F1066" s="7">
        <v>1</v>
      </c>
      <c r="G1066" s="5">
        <v>12.5</v>
      </c>
      <c r="H1066" s="5">
        <f t="shared" si="34"/>
        <v>61.328125</v>
      </c>
      <c r="I1066" s="5">
        <f>2.6*5.5/2/H1066</f>
        <v>0.11658598726114651</v>
      </c>
      <c r="J1066" s="5">
        <v>0</v>
      </c>
      <c r="K1066" s="5">
        <f>2/H1066</f>
        <v>3.2611464968152863E-2</v>
      </c>
      <c r="L1066" s="5">
        <f>4/H1066</f>
        <v>6.5222929936305726E-2</v>
      </c>
      <c r="M1066" s="5">
        <f>2/H1066</f>
        <v>3.2611464968152863E-2</v>
      </c>
      <c r="N1066" s="5">
        <f>3*3.5/2/H1066</f>
        <v>8.5605095541401277E-2</v>
      </c>
      <c r="O1066" s="5">
        <f>4*4/2/H1066</f>
        <v>0.13044585987261145</v>
      </c>
      <c r="P1066" s="5">
        <f>2/H1066</f>
        <v>3.2611464968152863E-2</v>
      </c>
    </row>
    <row r="1067" spans="1:16" x14ac:dyDescent="0.25">
      <c r="A1067" t="s">
        <v>784</v>
      </c>
      <c r="B1067" s="2">
        <v>44.936</v>
      </c>
      <c r="C1067" s="2">
        <v>-74.846000000000004</v>
      </c>
      <c r="D1067" s="2" t="s">
        <v>2034</v>
      </c>
      <c r="E1067" s="5">
        <v>1</v>
      </c>
      <c r="F1067" s="7">
        <v>1</v>
      </c>
      <c r="G1067">
        <v>12.5</v>
      </c>
      <c r="H1067" s="5">
        <f t="shared" si="34"/>
        <v>61.328125</v>
      </c>
      <c r="I1067">
        <f>2.6*5.5/2/H1067</f>
        <v>0.11658598726114651</v>
      </c>
      <c r="J1067">
        <v>0</v>
      </c>
      <c r="K1067">
        <f>2/H1067</f>
        <v>3.2611464968152863E-2</v>
      </c>
      <c r="L1067">
        <f>4/H1067</f>
        <v>6.5222929936305726E-2</v>
      </c>
      <c r="M1067">
        <f>2/H1067</f>
        <v>3.2611464968152863E-2</v>
      </c>
      <c r="N1067">
        <f>3*3.5/2/H1067</f>
        <v>8.5605095541401277E-2</v>
      </c>
      <c r="O1067">
        <f>4*4/2/H1067</f>
        <v>0.13044585987261145</v>
      </c>
      <c r="P1067">
        <f>2/H1067</f>
        <v>3.2611464968152863E-2</v>
      </c>
    </row>
    <row r="1068" spans="1:16" x14ac:dyDescent="0.25">
      <c r="A1068" t="s">
        <v>542</v>
      </c>
      <c r="B1068" s="5">
        <v>44.988999999999997</v>
      </c>
      <c r="C1068" s="5">
        <v>-85.185000000000002</v>
      </c>
      <c r="D1068" s="5" t="s">
        <v>2162</v>
      </c>
      <c r="E1068" s="5">
        <v>1</v>
      </c>
      <c r="F1068" s="7">
        <v>0</v>
      </c>
      <c r="G1068">
        <f>21.5/2</f>
        <v>10.75</v>
      </c>
      <c r="H1068" s="5">
        <f t="shared" si="34"/>
        <v>45.358281250000005</v>
      </c>
      <c r="I1068">
        <f>2/H1068</f>
        <v>4.4093381514538753E-2</v>
      </c>
      <c r="J1068">
        <f>5.5/H1068</f>
        <v>0.12125679916498157</v>
      </c>
      <c r="K1068">
        <f>1.5*6/2/H1068</f>
        <v>9.9210108407712203E-2</v>
      </c>
      <c r="L1068">
        <f>9*2.5/2/H1068</f>
        <v>0.24802527101928049</v>
      </c>
      <c r="M1068">
        <f>5.5*2.5/2/H1068</f>
        <v>0.15157099895622697</v>
      </c>
      <c r="N1068">
        <v>0</v>
      </c>
      <c r="O1068">
        <f>2*4/H1068</f>
        <v>0.17637352605815501</v>
      </c>
      <c r="P1068">
        <f>4*4.5/2/H1068</f>
        <v>0.19842021681542441</v>
      </c>
    </row>
    <row r="1069" spans="1:16" x14ac:dyDescent="0.25">
      <c r="A1069" t="s">
        <v>523</v>
      </c>
      <c r="B1069">
        <v>45.012999999999998</v>
      </c>
      <c r="C1069">
        <v>-84.700999999999993</v>
      </c>
      <c r="D1069" t="s">
        <v>1933</v>
      </c>
      <c r="E1069">
        <v>1</v>
      </c>
      <c r="F1069" s="7">
        <v>1</v>
      </c>
      <c r="G1069">
        <f>22.5/2</f>
        <v>11.25</v>
      </c>
      <c r="H1069" s="5">
        <f t="shared" si="34"/>
        <v>49.675781250000007</v>
      </c>
      <c r="I1069">
        <f>(H1069-5*5.5/2)/H1069</f>
        <v>0.72320515844931987</v>
      </c>
      <c r="J1069">
        <f>2*3.8/H1069</f>
        <v>0.15299205787528503</v>
      </c>
      <c r="K1069">
        <f>3*2/H1069</f>
        <v>0.12078320358575134</v>
      </c>
      <c r="L1069">
        <f>0.5/H1069</f>
        <v>1.0065266965479278E-2</v>
      </c>
      <c r="M1069">
        <f>0.4/H1069</f>
        <v>8.0522135723834227E-3</v>
      </c>
      <c r="N1069">
        <v>0</v>
      </c>
      <c r="O1069">
        <f>2.5*3.5/H1069</f>
        <v>0.17614217189588738</v>
      </c>
      <c r="P1069">
        <f>(H1069-4*4.5/2)/H1069</f>
        <v>0.81882519462137304</v>
      </c>
    </row>
    <row r="1070" spans="1:16" x14ac:dyDescent="0.25">
      <c r="A1070" t="s">
        <v>935</v>
      </c>
      <c r="B1070" s="5">
        <v>45.031999999999996</v>
      </c>
      <c r="C1070" s="5">
        <v>-102.01900000000001</v>
      </c>
      <c r="D1070" s="5" t="s">
        <v>2085</v>
      </c>
      <c r="E1070" s="5">
        <v>1</v>
      </c>
      <c r="F1070" s="7">
        <v>1</v>
      </c>
      <c r="G1070">
        <f>20.5/2</f>
        <v>10.25</v>
      </c>
      <c r="H1070" s="5">
        <f t="shared" si="34"/>
        <v>41.237031250000001</v>
      </c>
      <c r="I1070">
        <v>0</v>
      </c>
      <c r="J1070" s="5">
        <v>0</v>
      </c>
      <c r="K1070" s="5">
        <v>0</v>
      </c>
      <c r="L1070" s="5">
        <f>5/H1070</f>
        <v>0.12125024155321559</v>
      </c>
      <c r="M1070" s="5">
        <v>0</v>
      </c>
      <c r="N1070" s="5">
        <v>0</v>
      </c>
      <c r="O1070" s="5">
        <v>0</v>
      </c>
      <c r="P1070" s="5">
        <v>0</v>
      </c>
    </row>
    <row r="1071" spans="1:16" x14ac:dyDescent="0.25">
      <c r="A1071" t="s">
        <v>551</v>
      </c>
      <c r="B1071" s="5">
        <v>45.063000000000002</v>
      </c>
      <c r="C1071" s="5">
        <v>-93.350999999999999</v>
      </c>
      <c r="D1071" s="5" t="s">
        <v>2096</v>
      </c>
      <c r="E1071">
        <v>1</v>
      </c>
      <c r="F1071" s="7">
        <v>1</v>
      </c>
      <c r="G1071">
        <v>9.5</v>
      </c>
      <c r="H1071" s="5">
        <f t="shared" si="34"/>
        <v>35.423124999999999</v>
      </c>
      <c r="I1071">
        <f>2.5*1.5/2/H1071</f>
        <v>5.2931524251460027E-2</v>
      </c>
      <c r="J1071">
        <f>5*3/2/H1071</f>
        <v>0.21172609700584011</v>
      </c>
      <c r="K1071">
        <f>4*5/2/H1071</f>
        <v>0.2823014626744535</v>
      </c>
      <c r="L1071">
        <f>2.5*3.5/2/H1071</f>
        <v>0.1235068899200734</v>
      </c>
      <c r="M1071">
        <f>0.7/H1071</f>
        <v>1.9761102387211744E-2</v>
      </c>
      <c r="N1071">
        <f>6*2.4/2/H1071</f>
        <v>0.20325705312560649</v>
      </c>
      <c r="O1071">
        <v>0</v>
      </c>
      <c r="P1071">
        <v>0</v>
      </c>
    </row>
    <row r="1072" spans="1:16" x14ac:dyDescent="0.25">
      <c r="A1072" t="s">
        <v>534</v>
      </c>
      <c r="B1072" s="1">
        <v>45.072000000000003</v>
      </c>
      <c r="C1072" s="1">
        <v>-83.581000000000003</v>
      </c>
      <c r="D1072" s="5" t="s">
        <v>2049</v>
      </c>
      <c r="E1072" s="5">
        <v>1</v>
      </c>
      <c r="F1072" s="7">
        <v>0</v>
      </c>
      <c r="G1072">
        <f>21.7/2</f>
        <v>10.85</v>
      </c>
      <c r="H1072" s="5">
        <f t="shared" si="34"/>
        <v>46.206081250000004</v>
      </c>
      <c r="I1072">
        <v>0</v>
      </c>
      <c r="J1072">
        <v>0</v>
      </c>
      <c r="K1072">
        <f>2/H1072</f>
        <v>4.3284345824068336E-2</v>
      </c>
      <c r="L1072">
        <f>3.5/H1072</f>
        <v>7.5747605192119594E-2</v>
      </c>
      <c r="M1072" s="5">
        <v>0</v>
      </c>
      <c r="N1072" s="5">
        <v>0</v>
      </c>
      <c r="O1072" s="5">
        <f>0.6/H1072</f>
        <v>1.2985303747220501E-2</v>
      </c>
      <c r="P1072" s="5">
        <f>0.4/H1072</f>
        <v>8.6568691648136673E-3</v>
      </c>
    </row>
    <row r="1073" spans="1:16" x14ac:dyDescent="0.25">
      <c r="A1073" t="s">
        <v>509</v>
      </c>
      <c r="B1073" s="1">
        <v>45.082999999999998</v>
      </c>
      <c r="C1073" s="1">
        <v>-83.566999999999993</v>
      </c>
      <c r="D1073" s="5" t="s">
        <v>1201</v>
      </c>
      <c r="E1073">
        <v>1</v>
      </c>
      <c r="F1073" s="7">
        <v>1</v>
      </c>
      <c r="G1073">
        <f>24.3/2</f>
        <v>12.15</v>
      </c>
      <c r="H1073" s="5">
        <f t="shared" si="34"/>
        <v>57.941831250000007</v>
      </c>
      <c r="I1073">
        <v>0</v>
      </c>
      <c r="J1073" s="5">
        <v>0</v>
      </c>
      <c r="K1073" s="5">
        <v>0</v>
      </c>
      <c r="L1073" s="5">
        <v>0</v>
      </c>
      <c r="M1073" s="5">
        <f>1.2/H1073</f>
        <v>2.0710425854895635E-2</v>
      </c>
      <c r="N1073" s="5">
        <f>4*8.5/2/H1073</f>
        <v>0.29339769961102147</v>
      </c>
      <c r="O1073" s="5">
        <f>5*9.5/2/H1073</f>
        <v>0.40989384504480941</v>
      </c>
      <c r="P1073" s="5">
        <f>7*3/2/H1073</f>
        <v>0.18121622623033681</v>
      </c>
    </row>
    <row r="1074" spans="1:16" x14ac:dyDescent="0.25">
      <c r="A1074" t="s">
        <v>859</v>
      </c>
      <c r="B1074" s="5">
        <v>45.195</v>
      </c>
      <c r="C1074" s="5">
        <v>-123.134</v>
      </c>
      <c r="D1074" t="s">
        <v>2137</v>
      </c>
      <c r="E1074" s="5">
        <v>1</v>
      </c>
      <c r="F1074" s="7">
        <v>1</v>
      </c>
      <c r="G1074">
        <v>10.4</v>
      </c>
      <c r="H1074" s="5">
        <f t="shared" si="34"/>
        <v>42.452800000000011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 s="5">
        <v>0</v>
      </c>
      <c r="P1074" s="5">
        <v>0</v>
      </c>
    </row>
    <row r="1075" spans="1:16" x14ac:dyDescent="0.25">
      <c r="A1075" t="s">
        <v>868</v>
      </c>
      <c r="B1075" s="5">
        <v>45.249000000000002</v>
      </c>
      <c r="C1075" s="5">
        <v>-122.76900000000001</v>
      </c>
      <c r="D1075" s="5" t="s">
        <v>2146</v>
      </c>
      <c r="E1075" s="5">
        <v>1</v>
      </c>
      <c r="F1075" s="7">
        <v>1</v>
      </c>
      <c r="G1075">
        <f>23.7/2</f>
        <v>11.85</v>
      </c>
      <c r="H1075" s="5">
        <f t="shared" si="34"/>
        <v>55.115831250000006</v>
      </c>
      <c r="I1075">
        <v>0</v>
      </c>
      <c r="J1075">
        <f>4*3/2/H1075</f>
        <v>0.10886164399452833</v>
      </c>
      <c r="K1075">
        <f>7*9/2/H1075</f>
        <v>0.57152363097127368</v>
      </c>
      <c r="L1075">
        <f>4.5*6/2/H1075</f>
        <v>0.24493869898768875</v>
      </c>
      <c r="M1075">
        <v>0</v>
      </c>
      <c r="N1075">
        <f>4*4.5/2/H1075</f>
        <v>0.16329246599179251</v>
      </c>
      <c r="O1075">
        <f>3*2/H1075</f>
        <v>0.10886164399452833</v>
      </c>
      <c r="P1075">
        <f>4*4/H1075</f>
        <v>0.29029771731874221</v>
      </c>
    </row>
    <row r="1076" spans="1:16" x14ac:dyDescent="0.25">
      <c r="A1076" t="s">
        <v>608</v>
      </c>
      <c r="B1076" s="5">
        <v>45.255000000000003</v>
      </c>
      <c r="C1076" s="5">
        <v>-112.55200000000001</v>
      </c>
      <c r="D1076" s="5" t="s">
        <v>2122</v>
      </c>
      <c r="E1076" s="5">
        <v>1</v>
      </c>
      <c r="F1076" s="7">
        <v>0</v>
      </c>
      <c r="G1076">
        <f>20.3/2</f>
        <v>10.15</v>
      </c>
      <c r="H1076" s="5">
        <f t="shared" si="34"/>
        <v>40.436331250000002</v>
      </c>
      <c r="I1076">
        <v>0</v>
      </c>
      <c r="J1076">
        <v>0</v>
      </c>
      <c r="K1076">
        <v>0</v>
      </c>
      <c r="L1076">
        <v>0</v>
      </c>
      <c r="M1076" s="5">
        <v>0</v>
      </c>
      <c r="N1076" s="5">
        <f>1.7/H1076</f>
        <v>4.2041400578347467E-2</v>
      </c>
      <c r="O1076" s="5">
        <f>0.6/H1076</f>
        <v>1.4838141380593224E-2</v>
      </c>
      <c r="P1076" s="5">
        <v>0</v>
      </c>
    </row>
    <row r="1077" spans="1:16" x14ac:dyDescent="0.25">
      <c r="A1077" t="s">
        <v>1148</v>
      </c>
      <c r="B1077">
        <v>45.418999999999997</v>
      </c>
      <c r="C1077">
        <v>-91.772999999999996</v>
      </c>
      <c r="D1077" t="s">
        <v>2070</v>
      </c>
      <c r="E1077" s="5">
        <v>1</v>
      </c>
      <c r="F1077" s="7">
        <v>0</v>
      </c>
      <c r="G1077">
        <v>10</v>
      </c>
      <c r="H1077" s="5">
        <f t="shared" si="34"/>
        <v>39.25</v>
      </c>
      <c r="I1077">
        <v>0</v>
      </c>
      <c r="J1077">
        <f>1/H1077</f>
        <v>2.5477707006369428E-2</v>
      </c>
      <c r="K1077">
        <f>1.3/H1077</f>
        <v>3.3121019108280254E-2</v>
      </c>
      <c r="L1077">
        <f>2.3/H1077</f>
        <v>5.8598726114649675E-2</v>
      </c>
      <c r="M1077">
        <v>0</v>
      </c>
      <c r="N1077">
        <v>0</v>
      </c>
      <c r="O1077">
        <f>0.3/H1077</f>
        <v>7.6433121019108281E-3</v>
      </c>
      <c r="P1077">
        <f>3.5/H1077</f>
        <v>8.9171974522292988E-2</v>
      </c>
    </row>
    <row r="1078" spans="1:16" x14ac:dyDescent="0.25">
      <c r="A1078" t="s">
        <v>940</v>
      </c>
      <c r="B1078">
        <v>45.45</v>
      </c>
      <c r="C1078">
        <v>-98.421000000000006</v>
      </c>
      <c r="D1078" s="5" t="s">
        <v>2102</v>
      </c>
      <c r="E1078" s="5">
        <v>1</v>
      </c>
      <c r="F1078" s="7">
        <v>1</v>
      </c>
      <c r="G1078">
        <f>23.5/2</f>
        <v>11.75</v>
      </c>
      <c r="H1078" s="5">
        <f t="shared" si="34"/>
        <v>54.189531250000002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f>3.8*2.2/2/H1078</f>
        <v>7.7136670194023857E-2</v>
      </c>
      <c r="P1078">
        <v>0</v>
      </c>
    </row>
    <row r="1079" spans="1:16" x14ac:dyDescent="0.25">
      <c r="A1079" t="s">
        <v>871</v>
      </c>
      <c r="B1079" s="5">
        <v>45.540999999999997</v>
      </c>
      <c r="C1079" s="5">
        <v>-122.949</v>
      </c>
      <c r="D1079" s="1" t="s">
        <v>2149</v>
      </c>
      <c r="E1079" s="5">
        <v>1</v>
      </c>
      <c r="F1079" s="7">
        <v>1</v>
      </c>
      <c r="G1079">
        <f>21.5/2</f>
        <v>10.75</v>
      </c>
      <c r="H1079" s="5">
        <f t="shared" si="34"/>
        <v>45.358281250000005</v>
      </c>
      <c r="I1079">
        <v>0</v>
      </c>
      <c r="J1079">
        <f>4*3.5/2/H1079</f>
        <v>0.15432683530088565</v>
      </c>
      <c r="K1079">
        <v>0</v>
      </c>
      <c r="L1079">
        <v>0</v>
      </c>
      <c r="M1079" s="5">
        <f>1/H1079</f>
        <v>2.2046690757269376E-2</v>
      </c>
      <c r="N1079" s="5">
        <f>2.5/H1079</f>
        <v>5.5116726893173443E-2</v>
      </c>
      <c r="O1079" s="5">
        <v>0</v>
      </c>
      <c r="P1079" s="5">
        <v>0</v>
      </c>
    </row>
    <row r="1080" spans="1:16" x14ac:dyDescent="0.25">
      <c r="A1080" t="s">
        <v>546</v>
      </c>
      <c r="B1080" s="5">
        <v>45.545000000000002</v>
      </c>
      <c r="C1080" s="5">
        <v>-94.052000000000007</v>
      </c>
      <c r="D1080" t="s">
        <v>2089</v>
      </c>
      <c r="E1080" s="5">
        <v>1</v>
      </c>
      <c r="F1080" s="7">
        <v>1</v>
      </c>
      <c r="G1080">
        <f>24.2/2</f>
        <v>12.1</v>
      </c>
      <c r="H1080" s="5">
        <f t="shared" si="34"/>
        <v>57.465924999999999</v>
      </c>
      <c r="I1080">
        <f>7*0.8/H1080</f>
        <v>9.7449053504315833E-2</v>
      </c>
      <c r="J1080" s="5">
        <f>5.5*3.5/2/H1080</f>
        <v>0.16749056071054283</v>
      </c>
      <c r="K1080" s="5">
        <f>6.5*8.5/2/H1080</f>
        <v>0.48071966126012938</v>
      </c>
      <c r="L1080" s="5">
        <f>5*5.5/2/H1080</f>
        <v>0.23927222958648975</v>
      </c>
      <c r="M1080" s="5">
        <v>0</v>
      </c>
      <c r="N1080" s="5">
        <v>0</v>
      </c>
      <c r="O1080" s="5">
        <v>0</v>
      </c>
      <c r="P1080">
        <f>4/H1080</f>
        <v>6.960646678879702E-2</v>
      </c>
    </row>
    <row r="1081" spans="1:16" x14ac:dyDescent="0.25">
      <c r="A1081" t="s">
        <v>945</v>
      </c>
      <c r="B1081">
        <v>45.545999999999999</v>
      </c>
      <c r="C1081">
        <v>-100.408</v>
      </c>
      <c r="D1081" t="s">
        <v>2113</v>
      </c>
      <c r="E1081" s="5">
        <v>1</v>
      </c>
      <c r="F1081" s="7">
        <v>1</v>
      </c>
      <c r="G1081">
        <f>23.5/2</f>
        <v>11.75</v>
      </c>
      <c r="H1081" s="5">
        <f t="shared" si="34"/>
        <v>54.189531250000002</v>
      </c>
      <c r="I1081">
        <f>2.4/H1081</f>
        <v>4.4288997240587866E-2</v>
      </c>
      <c r="J1081">
        <f>1.3/H1081</f>
        <v>2.3989873505318428E-2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f>2/H1081</f>
        <v>3.6907497700489886E-2</v>
      </c>
    </row>
    <row r="1082" spans="1:16" x14ac:dyDescent="0.25">
      <c r="A1082" t="s">
        <v>870</v>
      </c>
      <c r="B1082">
        <v>45.548999999999999</v>
      </c>
      <c r="C1082">
        <v>-122.4</v>
      </c>
      <c r="D1082" t="s">
        <v>2148</v>
      </c>
      <c r="E1082" s="5">
        <v>1</v>
      </c>
      <c r="F1082" s="7">
        <v>1</v>
      </c>
      <c r="G1082">
        <f>25/2</f>
        <v>12.5</v>
      </c>
      <c r="H1082" s="5">
        <f t="shared" si="34"/>
        <v>61.328125</v>
      </c>
      <c r="I1082">
        <f>6.5*7.5/2/H1082</f>
        <v>0.39745222929936308</v>
      </c>
      <c r="J1082">
        <f>6/H1082</f>
        <v>9.7834394904458596E-2</v>
      </c>
      <c r="K1082">
        <f>2.5/H1082</f>
        <v>4.0764331210191081E-2</v>
      </c>
      <c r="L1082">
        <v>0</v>
      </c>
      <c r="M1082">
        <f>9/H1082</f>
        <v>0.14675159235668789</v>
      </c>
      <c r="N1082">
        <f>1/H1082</f>
        <v>1.6305732484076432E-2</v>
      </c>
      <c r="O1082">
        <f>1.5*2/H1082</f>
        <v>4.8917197452229298E-2</v>
      </c>
      <c r="P1082">
        <f>8*7/2/H1082</f>
        <v>0.45656050955414013</v>
      </c>
    </row>
    <row r="1083" spans="1:16" x14ac:dyDescent="0.25">
      <c r="A1083" t="s">
        <v>539</v>
      </c>
      <c r="B1083">
        <v>45.570999999999998</v>
      </c>
      <c r="C1083">
        <v>-84.796000000000006</v>
      </c>
      <c r="D1083" t="s">
        <v>2158</v>
      </c>
      <c r="E1083" s="5">
        <v>1</v>
      </c>
      <c r="F1083" s="7">
        <v>0</v>
      </c>
      <c r="G1083">
        <f>20.7/2</f>
        <v>10.35</v>
      </c>
      <c r="H1083" s="5">
        <f t="shared" si="34"/>
        <v>42.045581250000005</v>
      </c>
      <c r="I1083">
        <f>10/H1083</f>
        <v>0.23783712111245933</v>
      </c>
      <c r="J1083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</row>
    <row r="1084" spans="1:16" x14ac:dyDescent="0.25">
      <c r="A1084" t="s">
        <v>869</v>
      </c>
      <c r="B1084" s="5">
        <v>45.591000000000001</v>
      </c>
      <c r="C1084" s="5">
        <v>-122.6</v>
      </c>
      <c r="D1084" s="5" t="s">
        <v>2147</v>
      </c>
      <c r="E1084">
        <v>1</v>
      </c>
      <c r="F1084" s="7">
        <v>0</v>
      </c>
      <c r="G1084">
        <f>25.5/2</f>
        <v>12.75</v>
      </c>
      <c r="H1084" s="5">
        <f t="shared" si="34"/>
        <v>63.805781250000003</v>
      </c>
      <c r="I1084">
        <v>0</v>
      </c>
      <c r="J1084">
        <v>0</v>
      </c>
      <c r="K1084">
        <f>6/H1084</f>
        <v>9.4035366113474239E-2</v>
      </c>
      <c r="L1084">
        <f>10.5/H1084</f>
        <v>0.1645618906985799</v>
      </c>
      <c r="M1084">
        <v>0</v>
      </c>
      <c r="N1084" s="5">
        <v>0</v>
      </c>
      <c r="O1084" s="5">
        <v>0</v>
      </c>
      <c r="P1084" s="5">
        <v>0</v>
      </c>
    </row>
    <row r="1085" spans="1:16" x14ac:dyDescent="0.25">
      <c r="A1085" t="s">
        <v>872</v>
      </c>
      <c r="B1085" s="5">
        <v>45.619</v>
      </c>
      <c r="C1085" s="5">
        <v>-121.167</v>
      </c>
      <c r="D1085" s="5" t="s">
        <v>2150</v>
      </c>
      <c r="E1085" s="5">
        <v>1</v>
      </c>
      <c r="F1085" s="7">
        <v>0</v>
      </c>
      <c r="G1085">
        <v>12.2</v>
      </c>
      <c r="H1085" s="5">
        <f t="shared" si="34"/>
        <v>58.419699999999999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f>3/H1085</f>
        <v>5.1352540324582294E-2</v>
      </c>
      <c r="O1085">
        <f>0.5/H1085</f>
        <v>8.558756720763715E-3</v>
      </c>
      <c r="P1085">
        <v>0</v>
      </c>
    </row>
    <row r="1086" spans="1:16" x14ac:dyDescent="0.25">
      <c r="A1086" t="s">
        <v>1109</v>
      </c>
      <c r="B1086">
        <v>45.621000000000002</v>
      </c>
      <c r="C1086">
        <v>-122.657</v>
      </c>
      <c r="D1086" t="s">
        <v>2209</v>
      </c>
      <c r="E1086" s="5">
        <v>1</v>
      </c>
      <c r="F1086" s="7">
        <v>1</v>
      </c>
      <c r="G1086">
        <f>18.5/2</f>
        <v>9.25</v>
      </c>
      <c r="H1086" s="5">
        <f t="shared" si="34"/>
        <v>33.583281249999999</v>
      </c>
      <c r="I1086">
        <f>7*6/2/H1086</f>
        <v>0.62531114347261707</v>
      </c>
      <c r="J1086">
        <f>7.5/H1086</f>
        <v>0.22332540838307752</v>
      </c>
      <c r="K1086">
        <f>5*1.5/2/H1086</f>
        <v>0.11166270419153876</v>
      </c>
      <c r="L1086">
        <f>2.5/H1086</f>
        <v>7.4441802794359177E-2</v>
      </c>
      <c r="M1086">
        <f>5.5/H1086</f>
        <v>0.16377196614759018</v>
      </c>
      <c r="N1086">
        <f>7/H1086</f>
        <v>0.20843704782420569</v>
      </c>
      <c r="O1086" s="5">
        <v>0</v>
      </c>
      <c r="P1086" s="5">
        <f>3/H1086</f>
        <v>8.9330163353231004E-2</v>
      </c>
    </row>
    <row r="1087" spans="1:16" x14ac:dyDescent="0.25">
      <c r="A1087" t="s">
        <v>1153</v>
      </c>
      <c r="B1087">
        <v>45.631</v>
      </c>
      <c r="C1087">
        <v>-89.465000000000003</v>
      </c>
      <c r="D1087" t="s">
        <v>2159</v>
      </c>
      <c r="E1087" s="5">
        <v>1</v>
      </c>
      <c r="F1087" s="7">
        <v>0</v>
      </c>
      <c r="G1087">
        <v>12.5</v>
      </c>
      <c r="H1087" s="5">
        <f t="shared" si="34"/>
        <v>61.328125</v>
      </c>
      <c r="I1087">
        <f>2.5*4.5/2/H1087</f>
        <v>9.171974522292993E-2</v>
      </c>
      <c r="J1087">
        <v>0</v>
      </c>
      <c r="K1087">
        <v>0</v>
      </c>
      <c r="L1087">
        <f>3*2.5/H1087</f>
        <v>0.12229299363057325</v>
      </c>
      <c r="M1087">
        <f>3*2.5/2/H1087</f>
        <v>6.1146496815286625E-2</v>
      </c>
      <c r="N1087">
        <v>0</v>
      </c>
      <c r="O1087">
        <f>2.5/H1087</f>
        <v>4.0764331210191081E-2</v>
      </c>
      <c r="P1087">
        <f>8*9/2/H1087</f>
        <v>0.58700636942675155</v>
      </c>
    </row>
    <row r="1088" spans="1:16" x14ac:dyDescent="0.25">
      <c r="A1088" t="s">
        <v>501</v>
      </c>
      <c r="B1088">
        <v>45.648000000000003</v>
      </c>
      <c r="C1088">
        <v>-68.686000000000007</v>
      </c>
      <c r="D1088" t="s">
        <v>2033</v>
      </c>
      <c r="E1088" s="5">
        <v>1</v>
      </c>
      <c r="F1088" s="7">
        <v>0</v>
      </c>
      <c r="G1088">
        <f>23.5/2</f>
        <v>11.75</v>
      </c>
      <c r="H1088" s="5">
        <f t="shared" si="34"/>
        <v>54.189531250000002</v>
      </c>
      <c r="I1088">
        <f>(H1088-3.5*4/2)/H1088</f>
        <v>0.87082375804828538</v>
      </c>
      <c r="J1088" s="5">
        <f>(H1088-7)/H1088</f>
        <v>0.87082375804828538</v>
      </c>
      <c r="K1088" s="5">
        <f>7.5*3.5/2/H1088</f>
        <v>0.24220545365946489</v>
      </c>
      <c r="L1088" s="5">
        <f>4.5*9/2/H1088</f>
        <v>0.37368841421746013</v>
      </c>
      <c r="M1088" s="5">
        <f>9*7.5/2/H1088</f>
        <v>0.62281402369576688</v>
      </c>
      <c r="N1088" s="5">
        <f>6*9/2/H1088</f>
        <v>0.49825121895661351</v>
      </c>
      <c r="O1088" s="5">
        <f>5/H1088</f>
        <v>9.2268744251224721E-2</v>
      </c>
      <c r="P1088" s="5">
        <f>4*9/2/H1088</f>
        <v>0.33216747930440899</v>
      </c>
    </row>
    <row r="1089" spans="1:16" x14ac:dyDescent="0.25">
      <c r="A1089" t="s">
        <v>932</v>
      </c>
      <c r="B1089">
        <v>45.668999999999997</v>
      </c>
      <c r="C1089">
        <v>-96.991</v>
      </c>
      <c r="D1089" t="s">
        <v>2082</v>
      </c>
      <c r="E1089" s="5">
        <v>1</v>
      </c>
      <c r="F1089" s="7">
        <v>1</v>
      </c>
      <c r="G1089">
        <f>24.5/2</f>
        <v>12.25</v>
      </c>
      <c r="H1089" s="5">
        <f>3.14*G1089*G1089/8</f>
        <v>58.899531250000003</v>
      </c>
      <c r="I1089">
        <v>0</v>
      </c>
      <c r="J1089">
        <f>3.4*2.9/H1089</f>
        <v>0.1674037091763782</v>
      </c>
      <c r="K1089">
        <v>0</v>
      </c>
      <c r="L1089">
        <v>0</v>
      </c>
      <c r="M1089">
        <v>0</v>
      </c>
      <c r="N1089">
        <f>3*0.5/H1089</f>
        <v>2.5467095716487555E-2</v>
      </c>
      <c r="O1089">
        <f>3*3.4/2/H1089</f>
        <v>8.6588125436057678E-2</v>
      </c>
      <c r="P1089">
        <v>0</v>
      </c>
    </row>
    <row r="1090" spans="1:16" x14ac:dyDescent="0.25">
      <c r="A1090" t="s">
        <v>858</v>
      </c>
      <c r="B1090">
        <v>45.698</v>
      </c>
      <c r="C1090">
        <v>-118.834</v>
      </c>
      <c r="D1090" t="s">
        <v>2136</v>
      </c>
      <c r="E1090" s="5">
        <v>1</v>
      </c>
      <c r="F1090" s="7">
        <v>1</v>
      </c>
      <c r="G1090">
        <f>20.5/2</f>
        <v>10.25</v>
      </c>
      <c r="H1090" s="5">
        <f>3.14*G1090*G1090/8</f>
        <v>41.237031250000001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</row>
    <row r="1091" spans="1:16" x14ac:dyDescent="0.25">
      <c r="A1091" t="s">
        <v>854</v>
      </c>
      <c r="B1091">
        <v>45.773000000000003</v>
      </c>
      <c r="C1091">
        <v>-122.861</v>
      </c>
      <c r="D1091" t="s">
        <v>2132</v>
      </c>
      <c r="E1091" s="5">
        <v>1</v>
      </c>
      <c r="F1091" s="7">
        <v>1</v>
      </c>
      <c r="G1091">
        <f>20.5/2</f>
        <v>10.25</v>
      </c>
      <c r="H1091" s="5">
        <f>3.14*G1091*G1091/8</f>
        <v>41.237031250000001</v>
      </c>
      <c r="I1091">
        <f>1.5/H1091</f>
        <v>3.6375072465964678E-2</v>
      </c>
      <c r="J1091">
        <v>0</v>
      </c>
      <c r="K1091">
        <v>0</v>
      </c>
      <c r="L1091">
        <v>0</v>
      </c>
      <c r="M1091">
        <f>3/H1091</f>
        <v>7.2750144931929356E-2</v>
      </c>
      <c r="N1091">
        <f>1/H1091</f>
        <v>2.4250048310643119E-2</v>
      </c>
      <c r="O1091">
        <f>4/H1091</f>
        <v>9.7000193242572474E-2</v>
      </c>
      <c r="P1091">
        <f>5/H1091</f>
        <v>0.12125024155321559</v>
      </c>
    </row>
    <row r="1092" spans="1:16" x14ac:dyDescent="0.25">
      <c r="A1092" t="s">
        <v>609</v>
      </c>
      <c r="B1092">
        <v>45.793999999999997</v>
      </c>
      <c r="C1092">
        <v>-111.152</v>
      </c>
      <c r="D1092" t="s">
        <v>2123</v>
      </c>
      <c r="E1092" s="5">
        <v>1</v>
      </c>
      <c r="F1092" s="7">
        <v>0</v>
      </c>
      <c r="G1092">
        <v>10</v>
      </c>
      <c r="H1092" s="5">
        <f t="shared" ref="H1092:H1103" si="35">3.14*G1092*G1092/8</f>
        <v>39.25</v>
      </c>
      <c r="I1092">
        <f>0.3/H1092</f>
        <v>7.6433121019108281E-3</v>
      </c>
      <c r="J1092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</row>
    <row r="1093" spans="1:16" x14ac:dyDescent="0.25">
      <c r="A1093" t="s">
        <v>603</v>
      </c>
      <c r="B1093">
        <v>45.808</v>
      </c>
      <c r="C1093">
        <v>-108.54300000000001</v>
      </c>
      <c r="D1093" t="s">
        <v>2117</v>
      </c>
      <c r="E1093" s="5">
        <v>1</v>
      </c>
      <c r="F1093" s="7">
        <v>1</v>
      </c>
      <c r="G1093">
        <f>23/2</f>
        <v>11.5</v>
      </c>
      <c r="H1093" s="5">
        <f t="shared" si="35"/>
        <v>51.908124999999998</v>
      </c>
      <c r="I1093">
        <v>0</v>
      </c>
      <c r="J1093" s="5">
        <v>0</v>
      </c>
      <c r="K1093" s="5">
        <v>0</v>
      </c>
      <c r="L1093" s="5">
        <f>1/H1093</f>
        <v>1.9264806810109208E-2</v>
      </c>
      <c r="M1093" s="5">
        <f>3/H1093</f>
        <v>5.7794420430327627E-2</v>
      </c>
      <c r="N1093" s="5">
        <f>4/H1093</f>
        <v>7.7059227240436831E-2</v>
      </c>
      <c r="O1093" s="5">
        <v>0</v>
      </c>
      <c r="P1093" s="5">
        <v>0</v>
      </c>
    </row>
    <row r="1094" spans="1:16" x14ac:dyDescent="0.25">
      <c r="A1094" t="s">
        <v>543</v>
      </c>
      <c r="B1094">
        <v>45.817999999999998</v>
      </c>
      <c r="C1094">
        <v>-88.114000000000004</v>
      </c>
      <c r="D1094" t="s">
        <v>2163</v>
      </c>
      <c r="E1094" s="5">
        <v>1</v>
      </c>
      <c r="F1094" s="7">
        <v>0</v>
      </c>
      <c r="G1094">
        <v>12</v>
      </c>
      <c r="H1094" s="5">
        <f t="shared" si="35"/>
        <v>56.519999999999996</v>
      </c>
      <c r="I1094">
        <v>0</v>
      </c>
      <c r="J1094">
        <f>2.3/H1094</f>
        <v>4.0693559801840057E-2</v>
      </c>
      <c r="K1094">
        <v>0</v>
      </c>
      <c r="L1094">
        <f>1.7/H1094</f>
        <v>3.0077848549186131E-2</v>
      </c>
      <c r="M1094">
        <v>0</v>
      </c>
      <c r="N1094" s="5">
        <f>9/H1094</f>
        <v>0.15923566878980894</v>
      </c>
      <c r="O1094" s="5">
        <f>10/H1094</f>
        <v>0.17692852087756547</v>
      </c>
      <c r="P1094" s="5">
        <v>0</v>
      </c>
    </row>
    <row r="1095" spans="1:16" x14ac:dyDescent="0.25">
      <c r="A1095" t="s">
        <v>860</v>
      </c>
      <c r="B1095" s="5">
        <v>45.826000000000001</v>
      </c>
      <c r="C1095" s="5">
        <v>-119.261</v>
      </c>
      <c r="D1095" s="5" t="s">
        <v>2138</v>
      </c>
      <c r="E1095" s="5">
        <v>1</v>
      </c>
      <c r="F1095" s="7">
        <v>1</v>
      </c>
      <c r="G1095">
        <v>12.5</v>
      </c>
      <c r="H1095" s="5">
        <f t="shared" si="35"/>
        <v>61.328125</v>
      </c>
      <c r="I1095">
        <f>3.5/H1095</f>
        <v>5.7070063694267516E-2</v>
      </c>
      <c r="J1095">
        <v>0</v>
      </c>
      <c r="K1095">
        <v>0</v>
      </c>
      <c r="L1095" s="5">
        <f>1/H1095</f>
        <v>1.6305732484076432E-2</v>
      </c>
      <c r="M1095" s="5">
        <f>1/H1095</f>
        <v>1.6305732484076432E-2</v>
      </c>
      <c r="N1095" s="5">
        <f>2/H1095</f>
        <v>3.2611464968152863E-2</v>
      </c>
      <c r="O1095" s="5">
        <v>0</v>
      </c>
      <c r="P1095" s="5">
        <f>5/H1095</f>
        <v>8.1528662420382161E-2</v>
      </c>
    </row>
    <row r="1096" spans="1:16" x14ac:dyDescent="0.25">
      <c r="A1096" t="s">
        <v>541</v>
      </c>
      <c r="B1096" s="5">
        <v>45.865000000000002</v>
      </c>
      <c r="C1096" s="5">
        <v>-84.637</v>
      </c>
      <c r="D1096" s="5" t="s">
        <v>2161</v>
      </c>
      <c r="E1096">
        <v>1</v>
      </c>
      <c r="F1096" s="7">
        <v>0</v>
      </c>
      <c r="G1096">
        <f>25.8/2</f>
        <v>12.9</v>
      </c>
      <c r="H1096" s="5">
        <f t="shared" si="35"/>
        <v>65.315925000000007</v>
      </c>
      <c r="I1096">
        <f>(H1096-2.5*3/2)/H1096</f>
        <v>0.94258674281961097</v>
      </c>
      <c r="J1096">
        <f>11*7/2/H1096</f>
        <v>0.58944277371866038</v>
      </c>
      <c r="K1096">
        <f>7*4.3/2/H1096</f>
        <v>0.23041853881729452</v>
      </c>
      <c r="L1096">
        <f>9.5*11/2/H1096</f>
        <v>0.79995805004675347</v>
      </c>
      <c r="M1096" s="5">
        <f>(H1096-3*3/2)/H1096</f>
        <v>0.93110409138353323</v>
      </c>
      <c r="N1096" s="5">
        <f>10.5*7/2/H1096</f>
        <v>0.56264992036781225</v>
      </c>
      <c r="O1096" s="5">
        <f>8*5/2/H1096</f>
        <v>0.30620403829540804</v>
      </c>
      <c r="P1096" s="5">
        <f>10.5*8/2/H1096</f>
        <v>0.64302848042035687</v>
      </c>
    </row>
    <row r="1097" spans="1:16" x14ac:dyDescent="0.25">
      <c r="A1097" t="s">
        <v>549</v>
      </c>
      <c r="B1097" s="5">
        <v>45.883000000000003</v>
      </c>
      <c r="C1097" s="5">
        <v>-95.393000000000001</v>
      </c>
      <c r="D1097" s="5" t="s">
        <v>2092</v>
      </c>
      <c r="E1097">
        <v>1</v>
      </c>
      <c r="F1097" s="7">
        <v>1</v>
      </c>
      <c r="G1097">
        <v>12</v>
      </c>
      <c r="H1097" s="5">
        <f t="shared" si="35"/>
        <v>56.519999999999996</v>
      </c>
      <c r="I1097">
        <v>0</v>
      </c>
      <c r="J1097">
        <v>0</v>
      </c>
      <c r="K1097">
        <f>2/H1097</f>
        <v>3.5385704175513094E-2</v>
      </c>
      <c r="L1097">
        <f>3*4/H1097</f>
        <v>0.21231422505307856</v>
      </c>
      <c r="M1097" s="5">
        <v>0</v>
      </c>
      <c r="N1097" s="5">
        <v>0</v>
      </c>
      <c r="O1097" s="5">
        <v>0</v>
      </c>
      <c r="P1097" s="5">
        <v>0</v>
      </c>
    </row>
    <row r="1098" spans="1:16" x14ac:dyDescent="0.25">
      <c r="A1098" t="s">
        <v>1130</v>
      </c>
      <c r="B1098" s="5">
        <v>45.927999999999997</v>
      </c>
      <c r="C1098" s="5">
        <v>-89.718000000000004</v>
      </c>
      <c r="D1098" s="5" t="s">
        <v>2053</v>
      </c>
      <c r="E1098" s="5">
        <v>1</v>
      </c>
      <c r="F1098" s="7">
        <v>0</v>
      </c>
      <c r="G1098">
        <v>10</v>
      </c>
      <c r="H1098" s="5">
        <f t="shared" si="35"/>
        <v>39.25</v>
      </c>
      <c r="I1098">
        <f>2.5*2.3/H1098</f>
        <v>0.1464968152866242</v>
      </c>
      <c r="J1098" s="5">
        <f>5.5*3.5/2/H1098</f>
        <v>0.24522292993630573</v>
      </c>
      <c r="K1098" s="5">
        <f>4*7/2/H1098</f>
        <v>0.35668789808917195</v>
      </c>
      <c r="L1098" s="5">
        <f>1.5/H1098</f>
        <v>3.8216560509554139E-2</v>
      </c>
      <c r="M1098" s="5">
        <v>0</v>
      </c>
      <c r="N1098" s="5">
        <v>0</v>
      </c>
      <c r="O1098" s="5">
        <f>15/H1098</f>
        <v>0.38216560509554143</v>
      </c>
      <c r="P1098" s="5">
        <f>3.5*4.5/2/H1098</f>
        <v>0.20063694267515925</v>
      </c>
    </row>
    <row r="1099" spans="1:16" x14ac:dyDescent="0.25">
      <c r="A1099" t="s">
        <v>947</v>
      </c>
      <c r="B1099" s="5">
        <v>45.933</v>
      </c>
      <c r="C1099" s="5">
        <v>-102.167</v>
      </c>
      <c r="D1099" t="s">
        <v>2115</v>
      </c>
      <c r="E1099" s="5">
        <v>1</v>
      </c>
      <c r="F1099" s="7">
        <v>0</v>
      </c>
      <c r="G1099">
        <v>10</v>
      </c>
      <c r="H1099" s="5">
        <f t="shared" si="35"/>
        <v>39.25</v>
      </c>
      <c r="I1099">
        <f>6/H1099</f>
        <v>0.15286624203821655</v>
      </c>
      <c r="J1099">
        <f>0.8/H1099</f>
        <v>2.0382165605095544E-2</v>
      </c>
      <c r="K1099">
        <f>0.4/H1099</f>
        <v>1.0191082802547772E-2</v>
      </c>
      <c r="L1099">
        <f>5/H1099</f>
        <v>0.12738853503184713</v>
      </c>
      <c r="M1099">
        <f>1/H1099</f>
        <v>2.5477707006369428E-2</v>
      </c>
      <c r="N1099">
        <f>1.3/H1099</f>
        <v>3.3121019108280254E-2</v>
      </c>
      <c r="O1099">
        <f>4.5/H1099</f>
        <v>0.11464968152866242</v>
      </c>
      <c r="P1099">
        <f>3.5*7/2/H1099</f>
        <v>0.31210191082802546</v>
      </c>
    </row>
    <row r="1100" spans="1:16" x14ac:dyDescent="0.25">
      <c r="A1100" t="s">
        <v>536</v>
      </c>
      <c r="B1100" s="5">
        <v>45.95</v>
      </c>
      <c r="C1100" s="5">
        <v>-86.23</v>
      </c>
      <c r="D1100" t="s">
        <v>2051</v>
      </c>
      <c r="E1100" s="5">
        <v>1</v>
      </c>
      <c r="F1100" s="7">
        <v>0</v>
      </c>
      <c r="G1100">
        <v>11.5</v>
      </c>
      <c r="H1100" s="5">
        <f t="shared" si="35"/>
        <v>51.908124999999998</v>
      </c>
      <c r="I1100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f>0.5/H1100</f>
        <v>9.6324034050546039E-3</v>
      </c>
    </row>
    <row r="1101" spans="1:16" x14ac:dyDescent="0.25">
      <c r="A1101" t="s">
        <v>607</v>
      </c>
      <c r="B1101" s="1">
        <v>45.953000000000003</v>
      </c>
      <c r="C1101" s="1">
        <v>-112.51300000000001</v>
      </c>
      <c r="D1101" s="1" t="s">
        <v>2121</v>
      </c>
      <c r="E1101">
        <v>1</v>
      </c>
      <c r="F1101" s="7">
        <v>1</v>
      </c>
      <c r="G1101" s="5">
        <f>20.5/2</f>
        <v>10.25</v>
      </c>
      <c r="H1101" s="5">
        <f t="shared" si="35"/>
        <v>41.237031250000001</v>
      </c>
      <c r="I1101" s="5">
        <v>0</v>
      </c>
      <c r="J1101" s="5">
        <f>5.5*0.3/H1101</f>
        <v>4.0012579712561142E-2</v>
      </c>
      <c r="K1101" s="5">
        <f>2.5*1.5/H1101</f>
        <v>9.0937681164911688E-2</v>
      </c>
      <c r="L1101" s="5">
        <f>3.5/H1101</f>
        <v>8.4875169087250915E-2</v>
      </c>
      <c r="M1101" s="5">
        <v>0</v>
      </c>
      <c r="N1101" s="5">
        <f>3/H1101</f>
        <v>7.2750144931929356E-2</v>
      </c>
      <c r="O1101" s="5">
        <f>3*3/H1101</f>
        <v>0.21825043479578807</v>
      </c>
      <c r="P1101" s="5">
        <f>6*5.5/2/H1101</f>
        <v>0.40012579712561147</v>
      </c>
    </row>
    <row r="1102" spans="1:16" x14ac:dyDescent="0.25">
      <c r="A1102" t="s">
        <v>606</v>
      </c>
      <c r="B1102" s="1">
        <v>45.953000000000003</v>
      </c>
      <c r="C1102" s="1">
        <v>-112.51300000000001</v>
      </c>
      <c r="D1102" s="1" t="s">
        <v>2120</v>
      </c>
      <c r="E1102">
        <v>1</v>
      </c>
      <c r="F1102" s="7">
        <v>1</v>
      </c>
      <c r="G1102">
        <f>20.5/2</f>
        <v>10.25</v>
      </c>
      <c r="H1102" s="5">
        <f t="shared" si="35"/>
        <v>41.237031250000001</v>
      </c>
      <c r="I1102">
        <v>0</v>
      </c>
      <c r="J1102">
        <f>5.5*0.3/H1102</f>
        <v>4.0012579712561142E-2</v>
      </c>
      <c r="K1102">
        <f>2.5*1.5/H1102</f>
        <v>9.0937681164911688E-2</v>
      </c>
      <c r="L1102">
        <f>3.5/H1102</f>
        <v>8.4875169087250915E-2</v>
      </c>
      <c r="M1102" s="5">
        <v>0</v>
      </c>
      <c r="N1102" s="5">
        <f>3/H1102</f>
        <v>7.2750144931929356E-2</v>
      </c>
      <c r="O1102" s="5">
        <f>3*3/H1102</f>
        <v>0.21825043479578807</v>
      </c>
      <c r="P1102" s="5">
        <f>6*5.5/2/H1102</f>
        <v>0.40012579712561147</v>
      </c>
    </row>
    <row r="1103" spans="1:16" x14ac:dyDescent="0.25">
      <c r="A1103" t="s">
        <v>1151</v>
      </c>
      <c r="B1103">
        <v>46.026000000000003</v>
      </c>
      <c r="C1103">
        <v>-91.444000000000003</v>
      </c>
      <c r="D1103" t="s">
        <v>2075</v>
      </c>
      <c r="E1103" s="5">
        <v>1</v>
      </c>
      <c r="F1103" s="7">
        <v>0</v>
      </c>
      <c r="G1103">
        <f>21.7/2</f>
        <v>10.85</v>
      </c>
      <c r="H1103" s="5">
        <f t="shared" si="35"/>
        <v>46.206081250000004</v>
      </c>
      <c r="I1103">
        <f>2.5*3.5/2/H1103</f>
        <v>9.4684506490149492E-2</v>
      </c>
      <c r="J1103">
        <f>5.5*5/2/H1103</f>
        <v>0.29757987754046983</v>
      </c>
      <c r="K1103">
        <f>4*7.5/2/H1103</f>
        <v>0.32463259368051256</v>
      </c>
      <c r="L1103">
        <f>5.5*5/2/H1103</f>
        <v>0.29757987754046983</v>
      </c>
      <c r="M1103">
        <f>6*1.5/2/H1103</f>
        <v>9.7389778104153765E-2</v>
      </c>
      <c r="N1103">
        <f>8/H1103</f>
        <v>0.17313738329627335</v>
      </c>
      <c r="O1103">
        <f>6*7.5/2/H1103</f>
        <v>0.48694889052076878</v>
      </c>
      <c r="P1103">
        <f>6*7/2/H1103</f>
        <v>0.45448563115271756</v>
      </c>
    </row>
    <row r="1104" spans="1:16" x14ac:dyDescent="0.25">
      <c r="A1104" t="s">
        <v>1099</v>
      </c>
      <c r="B1104">
        <v>46.094999999999999</v>
      </c>
      <c r="C1104">
        <v>-118.28700000000001</v>
      </c>
      <c r="D1104" t="s">
        <v>2199</v>
      </c>
      <c r="E1104" s="5">
        <v>1</v>
      </c>
      <c r="F1104" s="7">
        <v>1</v>
      </c>
      <c r="G1104">
        <v>11</v>
      </c>
      <c r="H1104" s="5">
        <f>3.14*G1104*G1104/8</f>
        <v>47.4925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t="s">
        <v>503</v>
      </c>
      <c r="B1105" s="1">
        <v>46.122999999999998</v>
      </c>
      <c r="C1105" s="1">
        <v>-67.792000000000002</v>
      </c>
      <c r="D1105" s="5" t="s">
        <v>2151</v>
      </c>
      <c r="E1105">
        <v>1</v>
      </c>
      <c r="F1105" s="7">
        <v>1</v>
      </c>
      <c r="G1105">
        <v>12</v>
      </c>
      <c r="H1105" s="5">
        <f>3.14*G1105*G1105/8</f>
        <v>56.519999999999996</v>
      </c>
      <c r="I1105">
        <f>3*3.5/2/H1105</f>
        <v>9.2887473460721875E-2</v>
      </c>
      <c r="J1105" s="5">
        <v>0</v>
      </c>
      <c r="K1105" s="5">
        <f>4.5*8/2/H1105</f>
        <v>0.31847133757961787</v>
      </c>
      <c r="L1105" s="5">
        <f>7.5*8.5/2/H1105</f>
        <v>0.56395966029723998</v>
      </c>
      <c r="M1105" s="5">
        <f>9.5*11/2/H1105</f>
        <v>0.92445152158527966</v>
      </c>
      <c r="N1105" s="5">
        <f>8*5/2/H1105</f>
        <v>0.35385704175513094</v>
      </c>
      <c r="O1105" s="5">
        <f>6*3.5/2/H1105</f>
        <v>0.18577494692144375</v>
      </c>
      <c r="P1105" s="5">
        <f>7*8.5/2/H1105</f>
        <v>0.52636234961075734</v>
      </c>
    </row>
    <row r="1106" spans="1:16" x14ac:dyDescent="0.25">
      <c r="A1106" t="s">
        <v>502</v>
      </c>
      <c r="B1106" s="1">
        <v>46.133000000000003</v>
      </c>
      <c r="C1106" s="1">
        <v>-67.783000000000001</v>
      </c>
      <c r="D1106" s="5" t="s">
        <v>1197</v>
      </c>
      <c r="E1106" s="5">
        <v>1</v>
      </c>
      <c r="F1106" s="7">
        <v>1</v>
      </c>
      <c r="G1106" s="5">
        <v>12</v>
      </c>
      <c r="H1106" s="5">
        <f>3.14*G1106*G1106/8</f>
        <v>56.519999999999996</v>
      </c>
      <c r="I1106" s="5">
        <f>3*3.5/2/H1106</f>
        <v>9.2887473460721875E-2</v>
      </c>
      <c r="J1106" s="5">
        <v>0</v>
      </c>
      <c r="K1106" s="5">
        <f>4.5*8/2/H1106</f>
        <v>0.31847133757961787</v>
      </c>
      <c r="L1106" s="5">
        <f>7.5*8.5/2/H1106</f>
        <v>0.56395966029723998</v>
      </c>
      <c r="M1106" s="5">
        <f>9.5*11/2/H1106</f>
        <v>0.92445152158527966</v>
      </c>
      <c r="N1106" s="5">
        <f>8*5/2/H1106</f>
        <v>0.35385704175513094</v>
      </c>
      <c r="O1106" s="5">
        <f>6*3.5/2/H1106</f>
        <v>0.18577494692144375</v>
      </c>
      <c r="P1106" s="5">
        <f>7*8.5/2/H1106</f>
        <v>0.52636234961075734</v>
      </c>
    </row>
    <row r="1107" spans="1:16" x14ac:dyDescent="0.25">
      <c r="A1107" t="s">
        <v>873</v>
      </c>
      <c r="B1107">
        <v>46.158000000000001</v>
      </c>
      <c r="C1107">
        <v>-123.878</v>
      </c>
      <c r="D1107" s="5" t="s">
        <v>2208</v>
      </c>
      <c r="E1107" s="5">
        <v>1</v>
      </c>
      <c r="F1107" s="7">
        <v>1</v>
      </c>
      <c r="G1107">
        <f>20.5/2</f>
        <v>10.25</v>
      </c>
      <c r="H1107" s="5">
        <f t="shared" ref="H1107:H1135" si="36">3.14*G1107*G1107/8</f>
        <v>41.237031250000001</v>
      </c>
      <c r="I1107">
        <v>0</v>
      </c>
      <c r="J1107">
        <v>0</v>
      </c>
      <c r="K1107">
        <v>0</v>
      </c>
      <c r="L1107">
        <f>5.5*3/2/H1107</f>
        <v>0.20006289856280574</v>
      </c>
      <c r="M1107">
        <f>4/H1107</f>
        <v>9.7000193242572474E-2</v>
      </c>
      <c r="N1107">
        <f>6.5/H1107</f>
        <v>0.15762531401918026</v>
      </c>
      <c r="O1107">
        <v>0</v>
      </c>
      <c r="P1107">
        <v>0</v>
      </c>
    </row>
    <row r="1108" spans="1:16" x14ac:dyDescent="0.25">
      <c r="A1108" t="s">
        <v>1098</v>
      </c>
      <c r="B1108" s="5">
        <v>46.265000000000001</v>
      </c>
      <c r="C1108" s="5">
        <v>-119.11799999999999</v>
      </c>
      <c r="D1108" t="s">
        <v>2198</v>
      </c>
      <c r="E1108" s="5">
        <v>1</v>
      </c>
      <c r="F1108" s="7">
        <v>1</v>
      </c>
      <c r="G1108">
        <v>11</v>
      </c>
      <c r="H1108" s="5">
        <f t="shared" si="36"/>
        <v>47.4925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t="s">
        <v>939</v>
      </c>
      <c r="B1109" s="5">
        <v>46.289000000000001</v>
      </c>
      <c r="C1109" s="5">
        <v>-96.150999999999996</v>
      </c>
      <c r="D1109" t="s">
        <v>2094</v>
      </c>
      <c r="E1109" s="5">
        <v>1</v>
      </c>
      <c r="F1109" s="7">
        <v>0</v>
      </c>
      <c r="G1109">
        <f>19/2</f>
        <v>9.5</v>
      </c>
      <c r="H1109" s="5">
        <f t="shared" si="36"/>
        <v>35.423124999999999</v>
      </c>
      <c r="I1109">
        <v>0</v>
      </c>
      <c r="J1109">
        <f>1.5/H1109</f>
        <v>4.2345219401168026E-2</v>
      </c>
      <c r="K1109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</row>
    <row r="1110" spans="1:16" x14ac:dyDescent="0.25">
      <c r="A1110" t="s">
        <v>1119</v>
      </c>
      <c r="B1110" s="5">
        <v>46.305999999999997</v>
      </c>
      <c r="C1110" s="5">
        <v>-119.304</v>
      </c>
      <c r="D1110" s="5" t="s">
        <v>2218</v>
      </c>
      <c r="E1110" s="5">
        <v>1</v>
      </c>
      <c r="F1110" s="7">
        <v>0</v>
      </c>
      <c r="G1110">
        <f>19.5/2</f>
        <v>9.75</v>
      </c>
      <c r="H1110" s="5">
        <f t="shared" si="36"/>
        <v>37.312031250000004</v>
      </c>
      <c r="I1110">
        <v>0</v>
      </c>
      <c r="J1110">
        <f>3/H1110</f>
        <v>8.0403020138443942E-2</v>
      </c>
      <c r="K1110" s="5">
        <f>1/H1110</f>
        <v>2.6801006712814646E-2</v>
      </c>
      <c r="L1110" s="5">
        <f>0.5/H1110</f>
        <v>1.3400503356407323E-2</v>
      </c>
      <c r="M1110" s="5">
        <f>0.5/H1110</f>
        <v>1.3400503356407323E-2</v>
      </c>
      <c r="N1110" s="5">
        <v>0</v>
      </c>
      <c r="O1110" s="5">
        <v>0</v>
      </c>
      <c r="P1110" s="5">
        <v>0</v>
      </c>
    </row>
    <row r="1111" spans="1:16" x14ac:dyDescent="0.25">
      <c r="A1111" t="s">
        <v>605</v>
      </c>
      <c r="B1111" s="5">
        <v>46.357999999999997</v>
      </c>
      <c r="C1111" s="5">
        <v>-104.25</v>
      </c>
      <c r="D1111" s="5" t="s">
        <v>2119</v>
      </c>
      <c r="E1111" s="5">
        <v>1</v>
      </c>
      <c r="F1111" s="7">
        <v>1</v>
      </c>
      <c r="G1111">
        <v>11</v>
      </c>
      <c r="H1111" s="5">
        <f t="shared" si="36"/>
        <v>47.4925</v>
      </c>
      <c r="I1111">
        <v>0</v>
      </c>
      <c r="J1111">
        <v>0</v>
      </c>
      <c r="K1111">
        <f>2/H1111</f>
        <v>4.2111912407222195E-2</v>
      </c>
      <c r="L1111">
        <f>2.5/H1111</f>
        <v>5.2639890509027738E-2</v>
      </c>
      <c r="M1111">
        <f>3/H1111</f>
        <v>6.3167868610833289E-2</v>
      </c>
      <c r="N1111">
        <f>4/H1111</f>
        <v>8.422382481444439E-2</v>
      </c>
      <c r="O1111">
        <f>0.75/H1111</f>
        <v>1.5791967152708322E-2</v>
      </c>
      <c r="P1111">
        <f>2.5/H1111</f>
        <v>5.2639890509027738E-2</v>
      </c>
    </row>
    <row r="1112" spans="1:16" x14ac:dyDescent="0.25">
      <c r="A1112" t="s">
        <v>379</v>
      </c>
      <c r="B1112" s="5">
        <v>46.375</v>
      </c>
      <c r="C1112" s="5">
        <v>-117.014</v>
      </c>
      <c r="D1112" s="5" t="s">
        <v>2196</v>
      </c>
      <c r="E1112">
        <v>1</v>
      </c>
      <c r="F1112" s="7">
        <v>1</v>
      </c>
      <c r="G1112">
        <v>12.5</v>
      </c>
      <c r="H1112" s="5">
        <f t="shared" si="36"/>
        <v>61.328125</v>
      </c>
      <c r="I1112">
        <f>0.7/H1112</f>
        <v>1.1414012738853502E-2</v>
      </c>
      <c r="J1112">
        <f>6/H1112</f>
        <v>9.7834394904458596E-2</v>
      </c>
      <c r="K1112">
        <f>2.5/H1112</f>
        <v>4.0764331210191081E-2</v>
      </c>
      <c r="L1112">
        <v>0</v>
      </c>
      <c r="M1112" s="5">
        <v>0</v>
      </c>
      <c r="N1112" s="5">
        <v>0</v>
      </c>
      <c r="O1112" s="5">
        <f>4/H1112</f>
        <v>6.5222929936305726E-2</v>
      </c>
      <c r="P1112" s="5">
        <f>2.5/H1112</f>
        <v>4.0764331210191081E-2</v>
      </c>
    </row>
    <row r="1113" spans="1:16" x14ac:dyDescent="0.25">
      <c r="A1113" t="s">
        <v>547</v>
      </c>
      <c r="B1113" s="5">
        <v>46.405000000000001</v>
      </c>
      <c r="C1113" s="5">
        <v>-94.131</v>
      </c>
      <c r="D1113" s="5" t="s">
        <v>2090</v>
      </c>
      <c r="E1113" s="5">
        <v>1</v>
      </c>
      <c r="F1113" s="7">
        <v>0</v>
      </c>
      <c r="G1113">
        <f>23.8/2</f>
        <v>11.9</v>
      </c>
      <c r="H1113" s="5">
        <f t="shared" si="36"/>
        <v>55.581924999999998</v>
      </c>
      <c r="I1113">
        <v>0</v>
      </c>
      <c r="J1113">
        <f>1/H1113</f>
        <v>1.7991460353343286E-2</v>
      </c>
      <c r="K1113">
        <v>0</v>
      </c>
      <c r="L1113" s="5">
        <v>0</v>
      </c>
      <c r="M1113" s="5">
        <v>0</v>
      </c>
      <c r="N1113" s="5">
        <v>0</v>
      </c>
      <c r="O1113">
        <f>4.5*1.5/2/H1113</f>
        <v>6.0721178692533594E-2</v>
      </c>
      <c r="P1113">
        <v>0</v>
      </c>
    </row>
    <row r="1114" spans="1:16" x14ac:dyDescent="0.25">
      <c r="A1114" t="s">
        <v>557</v>
      </c>
      <c r="B1114" s="5">
        <v>46.418999999999997</v>
      </c>
      <c r="C1114" s="5">
        <v>-92.8</v>
      </c>
      <c r="D1114" s="5" t="s">
        <v>2165</v>
      </c>
      <c r="E1114">
        <v>1</v>
      </c>
      <c r="F1114" s="7">
        <v>0</v>
      </c>
      <c r="G1114">
        <v>11</v>
      </c>
      <c r="H1114" s="5">
        <f t="shared" si="36"/>
        <v>47.4925</v>
      </c>
      <c r="I1114">
        <f>9*4.5/2/H1114</f>
        <v>0.42638311312312471</v>
      </c>
      <c r="J1114">
        <f>1/H1114</f>
        <v>2.1055956203611097E-2</v>
      </c>
      <c r="K1114">
        <f>6.5*3.5/2/H1114</f>
        <v>0.23951150181607622</v>
      </c>
      <c r="L1114">
        <f>8.5*6/2/H1114</f>
        <v>0.53692688319208293</v>
      </c>
      <c r="M1114">
        <f>3.5*6/2/H1114</f>
        <v>0.22108754013791651</v>
      </c>
      <c r="N1114">
        <f>3/H1114</f>
        <v>6.3167868610833289E-2</v>
      </c>
      <c r="O1114">
        <f>6*8/2/H1114</f>
        <v>0.50534294888666631</v>
      </c>
      <c r="P1114">
        <f>6.5*8/2/H1114</f>
        <v>0.54745486129388854</v>
      </c>
    </row>
    <row r="1115" spans="1:16" x14ac:dyDescent="0.25">
      <c r="A1115" t="s">
        <v>602</v>
      </c>
      <c r="B1115" s="1">
        <v>46.427999999999997</v>
      </c>
      <c r="C1115" s="1">
        <v>-105.886</v>
      </c>
      <c r="D1115" s="1" t="s">
        <v>2112</v>
      </c>
      <c r="E1115">
        <v>1</v>
      </c>
      <c r="F1115" s="7">
        <v>1</v>
      </c>
      <c r="G1115">
        <v>11.2</v>
      </c>
      <c r="H1115" s="5">
        <f t="shared" si="36"/>
        <v>49.235199999999999</v>
      </c>
      <c r="I1115">
        <v>0</v>
      </c>
      <c r="J1115" s="5">
        <v>0</v>
      </c>
      <c r="K1115" s="5">
        <v>0</v>
      </c>
      <c r="L1115" s="5">
        <f>7.5*4/2/H1115</f>
        <v>0.30466008059274668</v>
      </c>
      <c r="M1115" s="5">
        <f>5.5*7.5/2/H1115</f>
        <v>0.41890761081502664</v>
      </c>
      <c r="N1115" s="5">
        <v>0</v>
      </c>
      <c r="O1115" s="5">
        <v>0</v>
      </c>
      <c r="P1115" s="5">
        <v>0</v>
      </c>
    </row>
    <row r="1116" spans="1:16" x14ac:dyDescent="0.25">
      <c r="A1116" t="s">
        <v>619</v>
      </c>
      <c r="B1116" s="1">
        <v>46.427999999999997</v>
      </c>
      <c r="C1116" s="1">
        <v>-105.886</v>
      </c>
      <c r="D1116" s="1" t="s">
        <v>2112</v>
      </c>
      <c r="E1116" s="5">
        <v>1</v>
      </c>
      <c r="F1116" s="7">
        <v>1</v>
      </c>
      <c r="G1116">
        <v>11.2</v>
      </c>
      <c r="H1116" s="5">
        <f t="shared" si="36"/>
        <v>49.235199999999999</v>
      </c>
      <c r="I1116">
        <v>0</v>
      </c>
      <c r="J1116" s="5">
        <v>0</v>
      </c>
      <c r="K1116" s="5">
        <v>0</v>
      </c>
      <c r="L1116" s="5">
        <f>7.5*4/2/H1116</f>
        <v>0.30466008059274668</v>
      </c>
      <c r="M1116" s="5">
        <f>5.5*7.5/2/H1116</f>
        <v>0.41890761081502664</v>
      </c>
      <c r="N1116" s="5">
        <v>0</v>
      </c>
      <c r="O1116" s="5">
        <v>0</v>
      </c>
      <c r="P1116" s="5">
        <v>0</v>
      </c>
    </row>
    <row r="1117" spans="1:16" x14ac:dyDescent="0.25">
      <c r="A1117" t="s">
        <v>538</v>
      </c>
      <c r="B1117" s="1">
        <v>46.466999999999999</v>
      </c>
      <c r="C1117" s="1">
        <v>-84.367000000000004</v>
      </c>
      <c r="D1117" s="1" t="s">
        <v>2157</v>
      </c>
      <c r="E1117" s="5">
        <v>1</v>
      </c>
      <c r="F1117" s="7">
        <v>0</v>
      </c>
      <c r="G1117" s="5">
        <v>10.5</v>
      </c>
      <c r="H1117" s="5">
        <f t="shared" si="36"/>
        <v>43.273125</v>
      </c>
      <c r="I1117" s="5">
        <f>(H1117-9)/H1117</f>
        <v>0.79201871831535164</v>
      </c>
      <c r="J1117" s="5">
        <f>3/H1117</f>
        <v>6.9327093894882799E-2</v>
      </c>
      <c r="K1117" s="5">
        <f>2.5/H1117</f>
        <v>5.7772578245735659E-2</v>
      </c>
      <c r="L1117" s="5">
        <v>0</v>
      </c>
      <c r="M1117" s="5">
        <f>8*7.5/2/H1117</f>
        <v>0.69327093894882796</v>
      </c>
      <c r="N1117" s="5">
        <f>(H1117-5.25)/H1117</f>
        <v>0.87867758568395515</v>
      </c>
      <c r="O1117" s="5">
        <f>7*6.5/2/H1117</f>
        <v>0.52573046203619456</v>
      </c>
      <c r="P1117" s="5">
        <f>1.5*4.5/2/H1117</f>
        <v>7.7992980631743147E-2</v>
      </c>
    </row>
    <row r="1118" spans="1:16" x14ac:dyDescent="0.25">
      <c r="A1118" t="s">
        <v>537</v>
      </c>
      <c r="B1118" s="1">
        <v>46.466999999999999</v>
      </c>
      <c r="C1118" s="1">
        <v>-84.367000000000004</v>
      </c>
      <c r="D1118" s="1" t="s">
        <v>2156</v>
      </c>
      <c r="E1118" s="5">
        <v>1</v>
      </c>
      <c r="F1118" s="7">
        <v>0</v>
      </c>
      <c r="G1118">
        <v>10.5</v>
      </c>
      <c r="H1118" s="5">
        <f t="shared" si="36"/>
        <v>43.273125</v>
      </c>
      <c r="I1118">
        <f>(H1118-9)/H1118</f>
        <v>0.79201871831535164</v>
      </c>
      <c r="J1118">
        <f>3/H1118</f>
        <v>6.9327093894882799E-2</v>
      </c>
      <c r="K1118">
        <f>2.5/H1118</f>
        <v>5.7772578245735659E-2</v>
      </c>
      <c r="L1118">
        <v>0</v>
      </c>
      <c r="M1118">
        <f>8*7.5/2/H1118</f>
        <v>0.69327093894882796</v>
      </c>
      <c r="N1118">
        <f>(H1118-5.25)/H1118</f>
        <v>0.87867758568395515</v>
      </c>
      <c r="O1118">
        <f>7*6.5/2/H1118</f>
        <v>0.52573046203619456</v>
      </c>
      <c r="P1118">
        <f>1.5*4.5/2/H1118</f>
        <v>7.7992980631743147E-2</v>
      </c>
    </row>
    <row r="1119" spans="1:16" x14ac:dyDescent="0.25">
      <c r="A1119" t="s">
        <v>540</v>
      </c>
      <c r="B1119">
        <v>46.530999999999999</v>
      </c>
      <c r="C1119">
        <v>-87.549000000000007</v>
      </c>
      <c r="D1119" t="s">
        <v>2160</v>
      </c>
      <c r="E1119" s="5">
        <v>1</v>
      </c>
      <c r="F1119" s="7">
        <v>0</v>
      </c>
      <c r="G1119">
        <v>10</v>
      </c>
      <c r="H1119" s="5">
        <f t="shared" si="36"/>
        <v>39.25</v>
      </c>
      <c r="I1119">
        <f>5.5/H1119</f>
        <v>0.14012738853503184</v>
      </c>
      <c r="J1119">
        <v>0</v>
      </c>
      <c r="K1119">
        <f>0.4/H1119</f>
        <v>1.0191082802547772E-2</v>
      </c>
      <c r="L1119">
        <f>2/H1119</f>
        <v>5.0955414012738856E-2</v>
      </c>
      <c r="M1119">
        <f>1/H1119</f>
        <v>2.5477707006369428E-2</v>
      </c>
      <c r="N1119">
        <f>9/H1119</f>
        <v>0.22929936305732485</v>
      </c>
      <c r="O1119">
        <f>4.5/H1119</f>
        <v>0.11464968152866242</v>
      </c>
      <c r="P1119">
        <f>(H1119-8.25)/H1119</f>
        <v>0.78980891719745228</v>
      </c>
    </row>
    <row r="1120" spans="1:16" x14ac:dyDescent="0.25">
      <c r="A1120" t="s">
        <v>1133</v>
      </c>
      <c r="B1120" s="5">
        <v>46.548999999999999</v>
      </c>
      <c r="C1120" s="5">
        <v>-90.918999999999997</v>
      </c>
      <c r="D1120" t="s">
        <v>2056</v>
      </c>
      <c r="E1120" s="5">
        <v>1</v>
      </c>
      <c r="F1120" s="7">
        <v>0</v>
      </c>
      <c r="G1120">
        <v>11.2</v>
      </c>
      <c r="H1120" s="5">
        <f t="shared" si="36"/>
        <v>49.235199999999999</v>
      </c>
      <c r="I1120">
        <v>0</v>
      </c>
      <c r="J1120">
        <f>2/H1120</f>
        <v>4.0621344079032888E-2</v>
      </c>
      <c r="K1120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</row>
    <row r="1121" spans="1:16" x14ac:dyDescent="0.25">
      <c r="A1121" t="s">
        <v>1092</v>
      </c>
      <c r="B1121" s="5">
        <v>46.564</v>
      </c>
      <c r="C1121" s="5">
        <v>-120.53400000000001</v>
      </c>
      <c r="D1121" t="s">
        <v>2191</v>
      </c>
      <c r="E1121" s="5">
        <v>1</v>
      </c>
      <c r="F1121" s="7">
        <v>1</v>
      </c>
      <c r="G1121">
        <v>10</v>
      </c>
      <c r="H1121" s="5">
        <f t="shared" si="36"/>
        <v>39.25</v>
      </c>
      <c r="I1121">
        <v>0</v>
      </c>
      <c r="J1121" s="5">
        <v>0</v>
      </c>
      <c r="K1121" s="5">
        <f>5*4/2/H1121</f>
        <v>0.25477707006369427</v>
      </c>
      <c r="L1121" s="5">
        <f>3*3/2/H1121</f>
        <v>0.11464968152866242</v>
      </c>
      <c r="M1121" s="5">
        <f>2/H1121</f>
        <v>5.0955414012738856E-2</v>
      </c>
      <c r="N1121" s="5">
        <f>4/H1121</f>
        <v>0.10191082802547771</v>
      </c>
      <c r="O1121" s="5">
        <f>4.5/H1121</f>
        <v>0.11464968152866242</v>
      </c>
      <c r="P1121" s="5">
        <v>0</v>
      </c>
    </row>
    <row r="1122" spans="1:16" x14ac:dyDescent="0.25">
      <c r="A1122" t="s">
        <v>613</v>
      </c>
      <c r="B1122">
        <v>46.606000000000002</v>
      </c>
      <c r="C1122">
        <v>-111.964</v>
      </c>
      <c r="D1122" t="s">
        <v>2185</v>
      </c>
      <c r="E1122">
        <v>1</v>
      </c>
      <c r="F1122" s="7">
        <v>0</v>
      </c>
      <c r="G1122">
        <v>11.35</v>
      </c>
      <c r="H1122" s="5">
        <f t="shared" si="36"/>
        <v>50.562831250000002</v>
      </c>
      <c r="I1122">
        <v>0</v>
      </c>
      <c r="J1122">
        <v>0</v>
      </c>
      <c r="K1122">
        <v>0</v>
      </c>
      <c r="L1122">
        <v>0</v>
      </c>
      <c r="M1122">
        <f>3/H1122</f>
        <v>5.9332120568307771E-2</v>
      </c>
      <c r="N1122">
        <f>0.5/H1122</f>
        <v>9.8886867613846279E-3</v>
      </c>
      <c r="O1122">
        <v>0</v>
      </c>
      <c r="P1122">
        <v>0</v>
      </c>
    </row>
    <row r="1123" spans="1:16" x14ac:dyDescent="0.25">
      <c r="A1123" t="s">
        <v>504</v>
      </c>
      <c r="B1123" s="5">
        <v>46.609000000000002</v>
      </c>
      <c r="C1123" s="5">
        <v>-69.531000000000006</v>
      </c>
      <c r="D1123" t="s">
        <v>2152</v>
      </c>
      <c r="E1123">
        <v>1</v>
      </c>
      <c r="F1123" s="7">
        <v>0</v>
      </c>
      <c r="G1123">
        <v>10.35</v>
      </c>
      <c r="H1123" s="5">
        <f t="shared" si="36"/>
        <v>42.045581250000005</v>
      </c>
      <c r="I1123">
        <f>15/H1123</f>
        <v>0.35675568166868898</v>
      </c>
      <c r="J1123">
        <v>0.8</v>
      </c>
      <c r="K1123">
        <v>0.9</v>
      </c>
      <c r="L1123">
        <v>0</v>
      </c>
      <c r="M1123">
        <v>0</v>
      </c>
      <c r="N1123">
        <v>0.8</v>
      </c>
      <c r="O1123">
        <f>24/H1123</f>
        <v>0.57080909066990237</v>
      </c>
      <c r="P1123">
        <f>16.5/H1123</f>
        <v>0.39243124983555788</v>
      </c>
    </row>
    <row r="1124" spans="1:16" x14ac:dyDescent="0.25">
      <c r="A1124" t="s">
        <v>1104</v>
      </c>
      <c r="B1124" s="5">
        <v>46.744</v>
      </c>
      <c r="C1124" s="5">
        <v>-117.10899999999999</v>
      </c>
      <c r="D1124" t="s">
        <v>2204</v>
      </c>
      <c r="E1124" s="5">
        <v>1</v>
      </c>
      <c r="F1124" s="7">
        <v>1</v>
      </c>
      <c r="G1124">
        <v>10</v>
      </c>
      <c r="H1124" s="5">
        <f t="shared" si="36"/>
        <v>39.25</v>
      </c>
      <c r="I1124">
        <v>0</v>
      </c>
      <c r="J1124">
        <f>0.5/H1124</f>
        <v>1.2738853503184714E-2</v>
      </c>
      <c r="K1124">
        <v>0</v>
      </c>
      <c r="L1124">
        <v>0</v>
      </c>
      <c r="M1124">
        <v>0</v>
      </c>
      <c r="N1124">
        <v>0</v>
      </c>
      <c r="O1124">
        <f>0.5/H1124</f>
        <v>1.2738853503184714E-2</v>
      </c>
      <c r="P1124">
        <v>0</v>
      </c>
    </row>
    <row r="1125" spans="1:16" x14ac:dyDescent="0.25">
      <c r="A1125" t="s">
        <v>657</v>
      </c>
      <c r="B1125" s="5">
        <v>46.774000000000001</v>
      </c>
      <c r="C1125" s="5">
        <v>-100.748</v>
      </c>
      <c r="D1125" t="s">
        <v>2176</v>
      </c>
      <c r="E1125" s="5">
        <v>1</v>
      </c>
      <c r="F1125" s="7">
        <v>1</v>
      </c>
      <c r="G1125">
        <f>25.5/2</f>
        <v>12.75</v>
      </c>
      <c r="H1125" s="5">
        <f t="shared" si="36"/>
        <v>63.805781250000003</v>
      </c>
      <c r="I1125">
        <v>0</v>
      </c>
      <c r="J1125">
        <f>3.5/H1125</f>
        <v>5.4853963566193306E-2</v>
      </c>
      <c r="K1125">
        <v>0</v>
      </c>
      <c r="L1125">
        <v>0</v>
      </c>
      <c r="M1125">
        <v>0</v>
      </c>
      <c r="N1125">
        <f>2.5/H1125</f>
        <v>3.9181402547280933E-2</v>
      </c>
      <c r="O1125">
        <f>1.5/H1125</f>
        <v>2.350884152836856E-2</v>
      </c>
      <c r="P1125">
        <v>0</v>
      </c>
    </row>
    <row r="1126" spans="1:16" x14ac:dyDescent="0.25">
      <c r="A1126" t="s">
        <v>658</v>
      </c>
      <c r="B1126">
        <v>46.796999999999997</v>
      </c>
      <c r="C1126">
        <v>-102.80200000000001</v>
      </c>
      <c r="D1126" t="s">
        <v>2177</v>
      </c>
      <c r="E1126" s="5">
        <v>1</v>
      </c>
      <c r="F1126" s="7">
        <v>1</v>
      </c>
      <c r="G1126">
        <v>11</v>
      </c>
      <c r="H1126" s="5">
        <f t="shared" si="36"/>
        <v>47.4925</v>
      </c>
      <c r="I1126">
        <f>6/H1126</f>
        <v>0.12633573722166658</v>
      </c>
      <c r="J1126">
        <f>1/H1126</f>
        <v>2.1055956203611097E-2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f>1.5/H1126</f>
        <v>3.1583934305416644E-2</v>
      </c>
    </row>
    <row r="1127" spans="1:16" x14ac:dyDescent="0.25">
      <c r="A1127" t="s">
        <v>558</v>
      </c>
      <c r="B1127" s="5">
        <v>46.844000000000001</v>
      </c>
      <c r="C1127" s="5">
        <v>-92.194000000000003</v>
      </c>
      <c r="D1127" t="s">
        <v>2166</v>
      </c>
      <c r="E1127" s="5">
        <v>1</v>
      </c>
      <c r="F1127" s="7">
        <v>1</v>
      </c>
      <c r="G1127">
        <f>22.5/2</f>
        <v>11.25</v>
      </c>
      <c r="H1127" s="5">
        <f t="shared" si="36"/>
        <v>49.675781250000007</v>
      </c>
      <c r="I1127">
        <f>1/H1127</f>
        <v>2.0130533930958556E-2</v>
      </c>
      <c r="J1127">
        <f>5.5*2.5/2/H1127</f>
        <v>0.13839742077534006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f>6*3/2/H1127</f>
        <v>0.18117480537862701</v>
      </c>
    </row>
    <row r="1128" spans="1:16" x14ac:dyDescent="0.25">
      <c r="A1128" t="s">
        <v>505</v>
      </c>
      <c r="B1128">
        <v>46.866999999999997</v>
      </c>
      <c r="C1128">
        <v>-68.033000000000001</v>
      </c>
      <c r="D1128" t="s">
        <v>2153</v>
      </c>
      <c r="E1128" s="5">
        <v>1</v>
      </c>
      <c r="F1128" s="7">
        <v>1</v>
      </c>
      <c r="G1128">
        <v>10</v>
      </c>
      <c r="H1128" s="5">
        <f t="shared" si="36"/>
        <v>39.25</v>
      </c>
      <c r="I1128">
        <f>3*5/2/H1128</f>
        <v>0.19108280254777071</v>
      </c>
      <c r="J1128">
        <f>4*3.5/2/H1128</f>
        <v>0.17834394904458598</v>
      </c>
      <c r="K1128">
        <f>3*4/2/H1128</f>
        <v>0.15286624203821655</v>
      </c>
      <c r="L1128">
        <f>2.75/2/H1128</f>
        <v>3.5031847133757961E-2</v>
      </c>
      <c r="M1128">
        <f>(H1128-4*5/2)/H1128</f>
        <v>0.74522292993630568</v>
      </c>
      <c r="N1128">
        <f>8*6/2/H1128</f>
        <v>0.61146496815286622</v>
      </c>
      <c r="O1128">
        <f>6*2.3/2/H1128</f>
        <v>0.17579617834394903</v>
      </c>
      <c r="P1128">
        <f>2/H1128</f>
        <v>5.0955414012738856E-2</v>
      </c>
    </row>
    <row r="1129" spans="1:16" x14ac:dyDescent="0.25">
      <c r="A1129" t="s">
        <v>614</v>
      </c>
      <c r="B1129">
        <v>46.920999999999999</v>
      </c>
      <c r="C1129">
        <v>-114.093</v>
      </c>
      <c r="D1129" t="s">
        <v>2186</v>
      </c>
      <c r="E1129" s="5">
        <v>1</v>
      </c>
      <c r="F1129" s="7">
        <v>1</v>
      </c>
      <c r="G1129">
        <f>20.7/2</f>
        <v>10.35</v>
      </c>
      <c r="H1129" s="5">
        <f t="shared" si="36"/>
        <v>42.045581250000005</v>
      </c>
      <c r="I1129">
        <f>3/H1129</f>
        <v>7.1351136333737797E-2</v>
      </c>
      <c r="J1129">
        <f>1.3/H1129</f>
        <v>3.0918825744619714E-2</v>
      </c>
      <c r="K1129">
        <f>0.4/H1129</f>
        <v>9.5134848444983731E-3</v>
      </c>
      <c r="L1129">
        <v>0</v>
      </c>
      <c r="M1129">
        <v>0</v>
      </c>
      <c r="N1129">
        <v>0</v>
      </c>
      <c r="O1129">
        <v>0</v>
      </c>
      <c r="P1129">
        <f>0.3/H1129</f>
        <v>7.135113633373779E-3</v>
      </c>
    </row>
    <row r="1130" spans="1:16" x14ac:dyDescent="0.25">
      <c r="A1130" t="s">
        <v>651</v>
      </c>
      <c r="B1130" s="5">
        <v>46.924999999999997</v>
      </c>
      <c r="C1130" s="5">
        <v>-96.811000000000007</v>
      </c>
      <c r="D1130" s="5" t="s">
        <v>2171</v>
      </c>
      <c r="E1130" s="5">
        <v>1</v>
      </c>
      <c r="F1130" s="7">
        <v>1</v>
      </c>
      <c r="G1130">
        <f>20.5/2</f>
        <v>10.25</v>
      </c>
      <c r="H1130" s="5">
        <f t="shared" si="36"/>
        <v>41.237031250000001</v>
      </c>
      <c r="I1130">
        <v>0</v>
      </c>
      <c r="J1130">
        <v>0</v>
      </c>
      <c r="K1130">
        <v>0</v>
      </c>
      <c r="L1130" s="5">
        <v>0</v>
      </c>
      <c r="M1130" s="5">
        <v>0</v>
      </c>
      <c r="N1130" s="5">
        <v>0</v>
      </c>
      <c r="O1130" s="5">
        <v>0</v>
      </c>
      <c r="P1130">
        <v>0</v>
      </c>
    </row>
    <row r="1131" spans="1:16" x14ac:dyDescent="0.25">
      <c r="A1131" t="s">
        <v>652</v>
      </c>
      <c r="B1131" s="5">
        <v>46.93</v>
      </c>
      <c r="C1131" s="5">
        <v>-98.677999999999997</v>
      </c>
      <c r="D1131" s="5" t="s">
        <v>2172</v>
      </c>
      <c r="E1131" s="5">
        <v>1</v>
      </c>
      <c r="F1131" s="7">
        <v>1</v>
      </c>
      <c r="G1131">
        <v>12</v>
      </c>
      <c r="H1131" s="5">
        <f t="shared" si="36"/>
        <v>56.519999999999996</v>
      </c>
      <c r="I1131">
        <v>0</v>
      </c>
      <c r="J1131">
        <v>0</v>
      </c>
      <c r="K1131">
        <v>0</v>
      </c>
      <c r="L1131">
        <v>0</v>
      </c>
      <c r="M1131" s="5">
        <v>0</v>
      </c>
      <c r="N1131">
        <v>0</v>
      </c>
      <c r="O1131">
        <v>0</v>
      </c>
      <c r="P1131">
        <v>0</v>
      </c>
    </row>
    <row r="1132" spans="1:16" x14ac:dyDescent="0.25">
      <c r="A1132" t="s">
        <v>506</v>
      </c>
      <c r="B1132" s="5">
        <v>46.95</v>
      </c>
      <c r="C1132" s="5">
        <v>-67.882999999999996</v>
      </c>
      <c r="D1132" s="5" t="s">
        <v>2154</v>
      </c>
      <c r="E1132">
        <v>1</v>
      </c>
      <c r="F1132" s="7">
        <v>0</v>
      </c>
      <c r="G1132">
        <f>23.5/2</f>
        <v>11.75</v>
      </c>
      <c r="H1132" s="5">
        <f t="shared" si="36"/>
        <v>54.189531250000002</v>
      </c>
      <c r="I1132">
        <v>0</v>
      </c>
      <c r="J1132">
        <f>5/H1132</f>
        <v>9.2268744251224721E-2</v>
      </c>
      <c r="K1132">
        <f>24/2/H1132</f>
        <v>0.22144498620293934</v>
      </c>
      <c r="L1132">
        <f>8/H1132</f>
        <v>0.14762999080195954</v>
      </c>
      <c r="M1132">
        <v>0</v>
      </c>
      <c r="N1132" s="5">
        <v>0</v>
      </c>
      <c r="O1132" s="5">
        <v>0</v>
      </c>
      <c r="P1132" s="5">
        <v>0</v>
      </c>
    </row>
    <row r="1133" spans="1:16" x14ac:dyDescent="0.25">
      <c r="A1133" t="s">
        <v>1111</v>
      </c>
      <c r="B1133" s="1">
        <v>46.970999999999997</v>
      </c>
      <c r="C1133" s="1">
        <v>-123.937</v>
      </c>
      <c r="D1133" s="1" t="s">
        <v>2211</v>
      </c>
      <c r="E1133" s="5">
        <v>1</v>
      </c>
      <c r="F1133" s="8">
        <v>1</v>
      </c>
      <c r="G1133">
        <v>11.5</v>
      </c>
      <c r="H1133" s="5">
        <f t="shared" si="36"/>
        <v>51.908124999999998</v>
      </c>
      <c r="I1133">
        <v>0</v>
      </c>
      <c r="J1133">
        <f>8.5*6/2/H1133</f>
        <v>0.4912525736577848</v>
      </c>
      <c r="K1133">
        <v>0</v>
      </c>
      <c r="L1133">
        <v>0</v>
      </c>
      <c r="M1133">
        <v>0</v>
      </c>
      <c r="N1133">
        <v>0</v>
      </c>
      <c r="O1133">
        <f>3.5/H1133</f>
        <v>6.7426823835382232E-2</v>
      </c>
      <c r="P1133">
        <f>1/H1133</f>
        <v>1.9264806810109208E-2</v>
      </c>
    </row>
    <row r="1134" spans="1:16" x14ac:dyDescent="0.25">
      <c r="A1134" t="s">
        <v>1113</v>
      </c>
      <c r="B1134" s="1">
        <v>46.970999999999997</v>
      </c>
      <c r="C1134" s="1">
        <v>-123.937</v>
      </c>
      <c r="D1134" s="1" t="s">
        <v>2211</v>
      </c>
      <c r="E1134" s="5">
        <v>1</v>
      </c>
      <c r="F1134" s="8">
        <v>1</v>
      </c>
      <c r="G1134">
        <v>11.5</v>
      </c>
      <c r="H1134" s="5">
        <f t="shared" si="36"/>
        <v>51.908124999999998</v>
      </c>
      <c r="I1134">
        <v>0</v>
      </c>
      <c r="J1134">
        <f>8.5*6/2/H1134</f>
        <v>0.4912525736577848</v>
      </c>
      <c r="K1134">
        <v>0</v>
      </c>
      <c r="L1134">
        <v>0</v>
      </c>
      <c r="M1134">
        <v>0</v>
      </c>
      <c r="N1134">
        <v>0</v>
      </c>
      <c r="O1134">
        <f>3.5/H1134</f>
        <v>6.7426823835382232E-2</v>
      </c>
      <c r="P1134">
        <f>1/H1134</f>
        <v>1.9264806810109208E-2</v>
      </c>
    </row>
    <row r="1135" spans="1:16" x14ac:dyDescent="0.25">
      <c r="A1135" t="s">
        <v>1110</v>
      </c>
      <c r="B1135" s="5">
        <v>46.972999999999999</v>
      </c>
      <c r="C1135" s="5">
        <v>-122.90300000000001</v>
      </c>
      <c r="D1135" s="5" t="s">
        <v>2210</v>
      </c>
      <c r="E1135">
        <v>1</v>
      </c>
      <c r="F1135" s="7">
        <v>1</v>
      </c>
      <c r="G1135">
        <f>23/2</f>
        <v>11.5</v>
      </c>
      <c r="H1135" s="5">
        <f t="shared" si="36"/>
        <v>51.908124999999998</v>
      </c>
      <c r="I1135">
        <v>0</v>
      </c>
      <c r="J1135" s="5">
        <v>0</v>
      </c>
      <c r="K1135" s="5">
        <f>0.8/H1135</f>
        <v>1.5411845448087368E-2</v>
      </c>
      <c r="L1135" s="5">
        <v>0</v>
      </c>
      <c r="M1135" s="5">
        <v>0</v>
      </c>
      <c r="N1135" s="5">
        <v>0</v>
      </c>
      <c r="O1135" s="5">
        <f>0.7/H1135</f>
        <v>1.3485364767076445E-2</v>
      </c>
      <c r="P1135" s="5">
        <v>0</v>
      </c>
    </row>
    <row r="1136" spans="1:16" x14ac:dyDescent="0.25">
      <c r="A1136" t="s">
        <v>1106</v>
      </c>
      <c r="B1136" s="5">
        <v>47.033999999999999</v>
      </c>
      <c r="C1136" s="5">
        <v>-120.53</v>
      </c>
      <c r="D1136" s="5" t="s">
        <v>2205</v>
      </c>
      <c r="E1136" s="5">
        <v>1</v>
      </c>
      <c r="F1136" s="7">
        <v>1</v>
      </c>
      <c r="G1136">
        <f>23.5/2</f>
        <v>11.75</v>
      </c>
      <c r="H1136" s="5">
        <f>3.14*G1136*G1136/8</f>
        <v>54.189531250000002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 s="5">
        <v>0</v>
      </c>
      <c r="P1136" s="5">
        <v>0</v>
      </c>
    </row>
    <row r="1137" spans="1:16" x14ac:dyDescent="0.25">
      <c r="A1137" t="s">
        <v>604</v>
      </c>
      <c r="B1137" s="5">
        <v>47.048999999999999</v>
      </c>
      <c r="C1137" s="5">
        <v>-109.467</v>
      </c>
      <c r="D1137" s="5" t="s">
        <v>2118</v>
      </c>
      <c r="E1137" s="5">
        <v>1</v>
      </c>
      <c r="F1137" s="7">
        <v>0</v>
      </c>
      <c r="G1137">
        <v>10.5</v>
      </c>
      <c r="H1137" s="5">
        <f t="shared" ref="H1137:H1157" si="37">3.14*G1137*G1137/8</f>
        <v>43.273125</v>
      </c>
      <c r="I1137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0</v>
      </c>
    </row>
    <row r="1138" spans="1:16" x14ac:dyDescent="0.25">
      <c r="A1138" t="s">
        <v>1125</v>
      </c>
      <c r="B1138" s="5">
        <v>47.079000000000001</v>
      </c>
      <c r="C1138" s="5">
        <v>-122.581</v>
      </c>
      <c r="D1138" s="5" t="s">
        <v>2225</v>
      </c>
      <c r="E1138" s="5">
        <v>1</v>
      </c>
      <c r="F1138" s="7">
        <v>0</v>
      </c>
      <c r="G1138">
        <f>20.3/2</f>
        <v>10.15</v>
      </c>
      <c r="H1138" s="5">
        <f t="shared" si="37"/>
        <v>40.436331250000002</v>
      </c>
      <c r="I1138">
        <v>0</v>
      </c>
      <c r="J1138">
        <f>3*5/2/H1138</f>
        <v>0.18547676725741533</v>
      </c>
      <c r="K1138">
        <v>0</v>
      </c>
      <c r="L1138">
        <v>0</v>
      </c>
      <c r="M1138">
        <v>0</v>
      </c>
      <c r="N1138">
        <f>3.5*3.5/H1138</f>
        <v>0.302945386520445</v>
      </c>
      <c r="O1138">
        <f>4*3/2/H1138</f>
        <v>0.14838141380593226</v>
      </c>
      <c r="P1138">
        <v>0</v>
      </c>
    </row>
    <row r="1139" spans="1:16" x14ac:dyDescent="0.25">
      <c r="A1139" t="s">
        <v>1126</v>
      </c>
      <c r="B1139" s="1">
        <v>47.12</v>
      </c>
      <c r="C1139" s="1">
        <v>-122.55</v>
      </c>
      <c r="D1139" s="1" t="s">
        <v>2316</v>
      </c>
      <c r="E1139" s="5">
        <v>1</v>
      </c>
      <c r="F1139" s="7">
        <v>0</v>
      </c>
      <c r="G1139" s="5">
        <f>22.7/2</f>
        <v>11.35</v>
      </c>
      <c r="H1139" s="5">
        <f t="shared" si="37"/>
        <v>50.562831250000002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</row>
    <row r="1140" spans="1:16" x14ac:dyDescent="0.25">
      <c r="A1140" t="s">
        <v>1124</v>
      </c>
      <c r="B1140" s="1">
        <v>47.137999999999998</v>
      </c>
      <c r="C1140" s="1">
        <v>-122.476</v>
      </c>
      <c r="D1140" s="1" t="s">
        <v>2224</v>
      </c>
      <c r="E1140" s="5">
        <v>1</v>
      </c>
      <c r="F1140" s="7">
        <v>0</v>
      </c>
      <c r="G1140">
        <f>22.7/2</f>
        <v>11.35</v>
      </c>
      <c r="H1140" s="5">
        <f t="shared" si="37"/>
        <v>50.562831250000002</v>
      </c>
      <c r="I1140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</row>
    <row r="1141" spans="1:16" x14ac:dyDescent="0.25">
      <c r="A1141" t="s">
        <v>544</v>
      </c>
      <c r="B1141">
        <v>47.168999999999997</v>
      </c>
      <c r="C1141">
        <v>-88.506</v>
      </c>
      <c r="D1141" t="s">
        <v>2164</v>
      </c>
      <c r="E1141" s="5">
        <v>1</v>
      </c>
      <c r="F1141" s="7">
        <v>1</v>
      </c>
      <c r="G1141">
        <v>12</v>
      </c>
      <c r="H1141" s="5">
        <f t="shared" si="37"/>
        <v>56.519999999999996</v>
      </c>
      <c r="I1141">
        <v>0</v>
      </c>
      <c r="J1141">
        <v>0</v>
      </c>
      <c r="K1141">
        <f>3*4/H1141</f>
        <v>0.21231422505307856</v>
      </c>
      <c r="L1141">
        <v>0</v>
      </c>
      <c r="M1141">
        <f>1/H1141</f>
        <v>1.7692852087756547E-2</v>
      </c>
      <c r="N1141">
        <f>3.5*3.5/H1141</f>
        <v>0.21673743807501772</v>
      </c>
      <c r="O1141">
        <f>1/H1141</f>
        <v>1.7692852087756547E-2</v>
      </c>
      <c r="P1141">
        <v>0</v>
      </c>
    </row>
    <row r="1142" spans="1:16" x14ac:dyDescent="0.25">
      <c r="A1142" t="s">
        <v>1096</v>
      </c>
      <c r="B1142" s="5">
        <v>47.207999999999998</v>
      </c>
      <c r="C1142" s="5">
        <v>-119.319</v>
      </c>
      <c r="D1142" s="5" t="s">
        <v>2195</v>
      </c>
      <c r="E1142" s="5">
        <v>1</v>
      </c>
      <c r="F1142" s="7">
        <v>1</v>
      </c>
      <c r="G1142">
        <f>20.5/2</f>
        <v>10.25</v>
      </c>
      <c r="H1142" s="5">
        <f t="shared" si="37"/>
        <v>41.237031250000001</v>
      </c>
      <c r="I1142">
        <v>0</v>
      </c>
      <c r="J1142">
        <v>0</v>
      </c>
      <c r="K1142">
        <v>0</v>
      </c>
      <c r="L1142">
        <v>0</v>
      </c>
      <c r="M1142">
        <f>4*4/2/H1142</f>
        <v>0.19400038648514495</v>
      </c>
      <c r="N1142">
        <v>0</v>
      </c>
      <c r="O1142">
        <v>0</v>
      </c>
      <c r="P1142">
        <v>0</v>
      </c>
    </row>
    <row r="1143" spans="1:16" x14ac:dyDescent="0.25">
      <c r="A1143" t="s">
        <v>1112</v>
      </c>
      <c r="B1143" s="5">
        <v>47.238</v>
      </c>
      <c r="C1143" s="5">
        <v>-123.148</v>
      </c>
      <c r="D1143" t="s">
        <v>2212</v>
      </c>
      <c r="E1143" s="5">
        <v>1</v>
      </c>
      <c r="F1143" s="7">
        <v>1</v>
      </c>
      <c r="G1143">
        <v>10</v>
      </c>
      <c r="H1143" s="5">
        <f t="shared" si="37"/>
        <v>39.25</v>
      </c>
      <c r="I1143">
        <f>4/H1143</f>
        <v>0.10191082802547771</v>
      </c>
      <c r="J1143">
        <f>8/H1143</f>
        <v>0.20382165605095542</v>
      </c>
      <c r="K1143">
        <f>12/H1143</f>
        <v>0.30573248407643311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x14ac:dyDescent="0.25">
      <c r="A1144" t="s">
        <v>1118</v>
      </c>
      <c r="B1144" s="5">
        <v>47.268000000000001</v>
      </c>
      <c r="C1144" s="5">
        <v>-122.57599999999999</v>
      </c>
      <c r="D1144" s="5" t="s">
        <v>2217</v>
      </c>
      <c r="E1144" s="5">
        <v>1</v>
      </c>
      <c r="F1144" s="7">
        <v>1</v>
      </c>
      <c r="G1144">
        <v>11</v>
      </c>
      <c r="H1144" s="5">
        <f t="shared" si="37"/>
        <v>47.4925</v>
      </c>
      <c r="I1144">
        <v>0</v>
      </c>
      <c r="J1144">
        <f>7*9.5/2/H1144</f>
        <v>0.70011054377006898</v>
      </c>
      <c r="K1144">
        <f>11*9/2/H1144</f>
        <v>1.0422698320787493</v>
      </c>
      <c r="L1144">
        <f>9.5*7.5/2/H1144</f>
        <v>0.75011843975364534</v>
      </c>
      <c r="M1144">
        <f>6/H1144</f>
        <v>0.12633573722166658</v>
      </c>
      <c r="N1144">
        <f>2.4*5/2/H1144</f>
        <v>0.12633573722166658</v>
      </c>
      <c r="O1144">
        <f>(H1144-6.5*7/2)/H1144</f>
        <v>0.52097699636784756</v>
      </c>
      <c r="P1144">
        <f>3*4.5/2/H1144</f>
        <v>0.14212770437437491</v>
      </c>
    </row>
    <row r="1145" spans="1:16" x14ac:dyDescent="0.25">
      <c r="A1145" t="s">
        <v>496</v>
      </c>
      <c r="B1145" s="5">
        <v>47.286000000000001</v>
      </c>
      <c r="C1145" s="5">
        <v>-68.307000000000002</v>
      </c>
      <c r="D1145" s="5" t="s">
        <v>2020</v>
      </c>
      <c r="E1145" s="5">
        <v>1</v>
      </c>
      <c r="F1145" s="7">
        <v>1</v>
      </c>
      <c r="G1145">
        <v>11.5</v>
      </c>
      <c r="H1145" s="5">
        <f t="shared" si="37"/>
        <v>51.908124999999998</v>
      </c>
      <c r="I1145">
        <f>5*5.5/2/H1145</f>
        <v>0.2648910936390016</v>
      </c>
      <c r="J1145">
        <f>5.5*8/2/H1145</f>
        <v>0.42382574982240256</v>
      </c>
      <c r="K1145">
        <f>9*4.5/2/H1145</f>
        <v>0.39011233790471145</v>
      </c>
      <c r="L1145">
        <f>2.5/H1145</f>
        <v>4.8162017025273021E-2</v>
      </c>
      <c r="M1145">
        <f>9*5/2/H1145</f>
        <v>0.43345815322745718</v>
      </c>
      <c r="N1145" s="5">
        <f>8*5.5/2/H1145</f>
        <v>0.42382574982240256</v>
      </c>
      <c r="O1145" s="5">
        <f>1.5/H1145</f>
        <v>2.8897210215163813E-2</v>
      </c>
      <c r="P1145" s="5">
        <f>4.5*4/2/H1145</f>
        <v>0.17338326129098286</v>
      </c>
    </row>
    <row r="1146" spans="1:16" x14ac:dyDescent="0.25">
      <c r="A1146" t="s">
        <v>1095</v>
      </c>
      <c r="B1146" s="5">
        <v>47.304000000000002</v>
      </c>
      <c r="C1146" s="5">
        <v>-119.514</v>
      </c>
      <c r="D1146" s="5" t="s">
        <v>2194</v>
      </c>
      <c r="E1146" s="5">
        <v>1</v>
      </c>
      <c r="F1146" s="7">
        <v>1</v>
      </c>
      <c r="G1146">
        <f>20.5/2</f>
        <v>10.25</v>
      </c>
      <c r="H1146" s="5">
        <f t="shared" si="37"/>
        <v>41.237031250000001</v>
      </c>
      <c r="I1146">
        <v>0</v>
      </c>
      <c r="J1146">
        <v>0</v>
      </c>
      <c r="K1146">
        <v>0</v>
      </c>
      <c r="L1146">
        <v>0</v>
      </c>
      <c r="M1146">
        <v>0</v>
      </c>
      <c r="N1146" s="5">
        <v>0</v>
      </c>
      <c r="O1146" s="5">
        <v>0</v>
      </c>
      <c r="P1146" s="5">
        <v>0</v>
      </c>
    </row>
    <row r="1147" spans="1:16" x14ac:dyDescent="0.25">
      <c r="A1147" t="s">
        <v>611</v>
      </c>
      <c r="B1147" s="5">
        <v>47.326000000000001</v>
      </c>
      <c r="C1147" s="5">
        <v>-106.94799999999999</v>
      </c>
      <c r="D1147" s="5" t="s">
        <v>2183</v>
      </c>
      <c r="E1147" s="5">
        <v>1</v>
      </c>
      <c r="F1147" s="7">
        <v>0</v>
      </c>
      <c r="G1147">
        <f>24.5/2</f>
        <v>12.25</v>
      </c>
      <c r="H1147" s="5">
        <f t="shared" si="37"/>
        <v>58.899531250000003</v>
      </c>
      <c r="I1147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</row>
    <row r="1148" spans="1:16" x14ac:dyDescent="0.25">
      <c r="A1148" t="s">
        <v>559</v>
      </c>
      <c r="B1148" s="5">
        <v>47.387</v>
      </c>
      <c r="C1148" s="5">
        <v>-92.838999999999999</v>
      </c>
      <c r="D1148" t="s">
        <v>2167</v>
      </c>
      <c r="E1148" s="5">
        <v>1</v>
      </c>
      <c r="F1148" s="7">
        <v>1</v>
      </c>
      <c r="G1148">
        <v>12.5</v>
      </c>
      <c r="H1148" s="5">
        <f t="shared" si="37"/>
        <v>61.328125</v>
      </c>
      <c r="I1148">
        <f>5/H1148</f>
        <v>8.1528662420382161E-2</v>
      </c>
      <c r="J1148">
        <f>7.5*4/2/H1148</f>
        <v>0.2445859872611465</v>
      </c>
      <c r="K1148">
        <v>0</v>
      </c>
      <c r="L1148">
        <f>2.5*4/2/H1148</f>
        <v>8.1528662420382161E-2</v>
      </c>
      <c r="M1148">
        <f>9.5*6/2/H1148</f>
        <v>0.46471337579617833</v>
      </c>
      <c r="N1148" s="5">
        <f>9*9/2/H1148</f>
        <v>0.66038216560509555</v>
      </c>
      <c r="O1148" s="5">
        <f>9.5*10/2/H1148</f>
        <v>0.77452229299363062</v>
      </c>
      <c r="P1148" s="5">
        <f>1.5/H1148</f>
        <v>2.4458598726114649E-2</v>
      </c>
    </row>
    <row r="1149" spans="1:16" x14ac:dyDescent="0.25">
      <c r="A1149" t="s">
        <v>1094</v>
      </c>
      <c r="B1149">
        <v>47.399000000000001</v>
      </c>
      <c r="C1149">
        <v>-120.20699999999999</v>
      </c>
      <c r="D1149" t="s">
        <v>2193</v>
      </c>
      <c r="E1149" s="5">
        <v>1</v>
      </c>
      <c r="F1149" s="7">
        <v>1</v>
      </c>
      <c r="G1149">
        <f>22.5/2</f>
        <v>11.25</v>
      </c>
      <c r="H1149" s="5">
        <f t="shared" si="37"/>
        <v>49.675781250000007</v>
      </c>
      <c r="I1149">
        <f>8*5/2/H1149</f>
        <v>0.4026106786191711</v>
      </c>
      <c r="J1149">
        <f>7.5*3.5/2/H1149</f>
        <v>0.26421325784383104</v>
      </c>
      <c r="K1149">
        <f>7*4/2/H1149</f>
        <v>0.28182747503341982</v>
      </c>
      <c r="L1149">
        <f>4.5*4.5/2/H1149</f>
        <v>0.2038216560509554</v>
      </c>
      <c r="M1149">
        <f>5.5*4/2/H1149</f>
        <v>0.22143587324054412</v>
      </c>
      <c r="N1149">
        <f>8.5*6.5/2/H1149</f>
        <v>0.55610599984273013</v>
      </c>
      <c r="O1149">
        <v>0</v>
      </c>
      <c r="P1149">
        <f>2*3/H1149</f>
        <v>0.12078320358575134</v>
      </c>
    </row>
    <row r="1150" spans="1:16" x14ac:dyDescent="0.25">
      <c r="A1150" t="s">
        <v>376</v>
      </c>
      <c r="B1150" s="5">
        <v>47.457000000000001</v>
      </c>
      <c r="C1150" s="5">
        <v>-115.645</v>
      </c>
      <c r="D1150" s="5" t="s">
        <v>2127</v>
      </c>
      <c r="E1150" s="5">
        <v>1</v>
      </c>
      <c r="F1150" s="7">
        <v>0</v>
      </c>
      <c r="G1150">
        <f>19.4/2</f>
        <v>9.6999999999999993</v>
      </c>
      <c r="H1150" s="5">
        <f t="shared" si="37"/>
        <v>36.930324999999996</v>
      </c>
      <c r="I1150">
        <f>0.5/H1150</f>
        <v>1.3539008931007243E-2</v>
      </c>
      <c r="J1150">
        <v>0</v>
      </c>
      <c r="K1150">
        <v>0</v>
      </c>
      <c r="L1150">
        <f>5/H1150</f>
        <v>0.13539008931007243</v>
      </c>
      <c r="M1150">
        <f>3.5/H1150</f>
        <v>9.4773062517050699E-2</v>
      </c>
      <c r="N1150">
        <f>2.5/H1150</f>
        <v>6.7695044655036216E-2</v>
      </c>
      <c r="O1150">
        <f>1/H1150</f>
        <v>2.7078017862014487E-2</v>
      </c>
      <c r="P1150">
        <f>1/H1150</f>
        <v>2.7078017862014487E-2</v>
      </c>
    </row>
    <row r="1151" spans="1:16" x14ac:dyDescent="0.25">
      <c r="A1151" t="s">
        <v>1114</v>
      </c>
      <c r="B1151" s="5">
        <v>47.460999999999999</v>
      </c>
      <c r="C1151" s="5">
        <v>-122.31399999999999</v>
      </c>
      <c r="D1151" s="5" t="s">
        <v>2213</v>
      </c>
      <c r="E1151" s="5">
        <v>1</v>
      </c>
      <c r="F1151" s="7">
        <v>1</v>
      </c>
      <c r="G1151">
        <f>22.6/2</f>
        <v>11.3</v>
      </c>
      <c r="H1151" s="5">
        <f t="shared" si="37"/>
        <v>50.118325000000013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f>2/H1151</f>
        <v>3.9905563484015069E-2</v>
      </c>
      <c r="O1151">
        <f>9.5/H1151</f>
        <v>0.18955142654907156</v>
      </c>
      <c r="P1151">
        <v>0</v>
      </c>
    </row>
    <row r="1152" spans="1:16" x14ac:dyDescent="0.25">
      <c r="A1152" t="s">
        <v>517</v>
      </c>
      <c r="B1152" s="5">
        <v>47.466999999999999</v>
      </c>
      <c r="C1152" s="5">
        <v>-87.875</v>
      </c>
      <c r="D1152" s="5" t="s">
        <v>1927</v>
      </c>
      <c r="E1152" s="5">
        <v>1</v>
      </c>
      <c r="F1152" s="7">
        <v>0</v>
      </c>
      <c r="G1152">
        <f>22.5/2</f>
        <v>11.25</v>
      </c>
      <c r="H1152" s="5">
        <f t="shared" si="37"/>
        <v>49.675781250000007</v>
      </c>
      <c r="I1152">
        <v>0</v>
      </c>
      <c r="J1152">
        <f>2.5*4.5/2/H1152</f>
        <v>0.11323425336164188</v>
      </c>
      <c r="K1152">
        <f>1.5/H1152</f>
        <v>3.0195800896437835E-2</v>
      </c>
      <c r="L1152">
        <f>1.5/H1152</f>
        <v>3.0195800896437835E-2</v>
      </c>
      <c r="M1152">
        <f>0.6/H1152</f>
        <v>1.2078320358575133E-2</v>
      </c>
      <c r="N1152">
        <v>0</v>
      </c>
      <c r="O1152">
        <f>4.5*3/2/H1152</f>
        <v>0.13588110403397025</v>
      </c>
      <c r="P1152">
        <f>0.3/H1152</f>
        <v>6.0391601792875666E-3</v>
      </c>
    </row>
    <row r="1153" spans="1:16" x14ac:dyDescent="0.25">
      <c r="A1153" t="s">
        <v>615</v>
      </c>
      <c r="B1153" s="5">
        <v>47.472999999999999</v>
      </c>
      <c r="C1153" s="5">
        <v>-111.38200000000001</v>
      </c>
      <c r="D1153" s="5" t="s">
        <v>2187</v>
      </c>
      <c r="E1153" s="5">
        <v>1</v>
      </c>
      <c r="F1153" s="7">
        <v>1</v>
      </c>
      <c r="G1153">
        <v>10.5</v>
      </c>
      <c r="H1153" s="5">
        <f t="shared" si="37"/>
        <v>43.273125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</row>
    <row r="1154" spans="1:16" x14ac:dyDescent="0.25">
      <c r="A1154" t="s">
        <v>1115</v>
      </c>
      <c r="B1154" s="5">
        <v>47.493000000000002</v>
      </c>
      <c r="C1154" s="5">
        <v>-122.214</v>
      </c>
      <c r="D1154" s="5" t="s">
        <v>2214</v>
      </c>
      <c r="E1154" s="5">
        <v>1</v>
      </c>
      <c r="F1154" s="7">
        <v>1</v>
      </c>
      <c r="G1154">
        <v>10</v>
      </c>
      <c r="H1154" s="5">
        <f t="shared" si="37"/>
        <v>39.25</v>
      </c>
      <c r="I1154">
        <f>6/H1154</f>
        <v>0.15286624203821655</v>
      </c>
      <c r="J1154">
        <f>3.5/H1154</f>
        <v>8.9171974522292988E-2</v>
      </c>
      <c r="K1154">
        <f>5/H1154</f>
        <v>0.12738853503184713</v>
      </c>
      <c r="L1154">
        <f>4/H1154</f>
        <v>0.10191082802547771</v>
      </c>
      <c r="M1154">
        <f>1.5/H1154</f>
        <v>3.8216560509554139E-2</v>
      </c>
      <c r="N1154">
        <f>4*4.5/2/H1154</f>
        <v>0.22929936305732485</v>
      </c>
      <c r="O1154">
        <f>4.5*7/2/H1154</f>
        <v>0.40127388535031849</v>
      </c>
      <c r="P1154">
        <f>3/H1154</f>
        <v>7.6433121019108277E-2</v>
      </c>
    </row>
    <row r="1155" spans="1:16" x14ac:dyDescent="0.25">
      <c r="A1155" t="s">
        <v>616</v>
      </c>
      <c r="B1155" s="5">
        <v>47.503999999999998</v>
      </c>
      <c r="C1155" s="5">
        <v>-111.187</v>
      </c>
      <c r="D1155" s="5" t="s">
        <v>2188</v>
      </c>
      <c r="E1155" s="5">
        <v>1</v>
      </c>
      <c r="F1155" s="7">
        <v>0</v>
      </c>
      <c r="G1155">
        <v>12</v>
      </c>
      <c r="H1155" s="5">
        <f t="shared" si="37"/>
        <v>56.519999999999996</v>
      </c>
      <c r="I115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</row>
    <row r="1156" spans="1:16" x14ac:dyDescent="0.25">
      <c r="A1156" t="s">
        <v>1116</v>
      </c>
      <c r="B1156">
        <v>47.53</v>
      </c>
      <c r="C1156">
        <v>-122.301</v>
      </c>
      <c r="D1156" t="s">
        <v>2215</v>
      </c>
      <c r="E1156" s="5">
        <v>1</v>
      </c>
      <c r="F1156" s="7">
        <v>1</v>
      </c>
      <c r="G1156">
        <f>19/2</f>
        <v>9.5</v>
      </c>
      <c r="H1156" s="5">
        <f t="shared" si="37"/>
        <v>35.423124999999999</v>
      </c>
      <c r="I1156">
        <f>(H1156-4*5.5/2)/H1156</f>
        <v>0.6894683910581012</v>
      </c>
      <c r="J1156">
        <f>(H1156-5*6/2)/H1156</f>
        <v>0.57654780598831978</v>
      </c>
      <c r="K1156">
        <f>5.5/H1156</f>
        <v>0.15526580447094943</v>
      </c>
      <c r="L1156">
        <f>3/H1156</f>
        <v>8.4690438802336052E-2</v>
      </c>
      <c r="M1156">
        <f>3.5/H1156</f>
        <v>9.8805511936058715E-2</v>
      </c>
      <c r="N1156">
        <f>5*4/2/H1156</f>
        <v>0.2823014626744535</v>
      </c>
      <c r="O1156">
        <f>(H1156-5*3/2)/H1156</f>
        <v>0.78827390299415989</v>
      </c>
      <c r="P1156">
        <f>(H1156-4*4.5/2)/H1156</f>
        <v>0.7459286835929918</v>
      </c>
    </row>
    <row r="1157" spans="1:16" x14ac:dyDescent="0.25">
      <c r="A1157" t="s">
        <v>563</v>
      </c>
      <c r="B1157" s="5">
        <v>47.582999999999998</v>
      </c>
      <c r="C1157" s="5">
        <v>-90.832999999999998</v>
      </c>
      <c r="D1157" s="5" t="s">
        <v>2173</v>
      </c>
      <c r="E1157" s="5">
        <v>1</v>
      </c>
      <c r="F1157" s="7">
        <v>0</v>
      </c>
      <c r="G1157">
        <f>23.8/2</f>
        <v>11.9</v>
      </c>
      <c r="H1157" s="5">
        <f t="shared" si="37"/>
        <v>55.581924999999998</v>
      </c>
      <c r="I1157">
        <v>0.95</v>
      </c>
      <c r="J1157" s="5">
        <v>0.95</v>
      </c>
      <c r="K1157" s="5">
        <v>0.95</v>
      </c>
      <c r="L1157" s="5">
        <v>0.95</v>
      </c>
      <c r="M1157" s="5">
        <v>0.95</v>
      </c>
      <c r="N1157" s="5">
        <v>0.95</v>
      </c>
      <c r="O1157" s="5">
        <v>0.95</v>
      </c>
      <c r="P1157" s="5">
        <v>0.95</v>
      </c>
    </row>
    <row r="1158" spans="1:16" x14ac:dyDescent="0.25">
      <c r="A1158" t="s">
        <v>1102</v>
      </c>
      <c r="B1158" s="5">
        <v>47.615000000000002</v>
      </c>
      <c r="C1158" s="5">
        <v>-117.65600000000001</v>
      </c>
      <c r="D1158" s="5" t="s">
        <v>2202</v>
      </c>
      <c r="E1158" s="5">
        <v>1</v>
      </c>
      <c r="F1158" s="7">
        <v>0</v>
      </c>
      <c r="G1158">
        <f>23.8/2</f>
        <v>11.9</v>
      </c>
      <c r="H1158" s="5">
        <f t="shared" ref="H1158:H1181" si="38">3.14*G1158*G1158/8</f>
        <v>55.581924999999998</v>
      </c>
      <c r="I1158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</row>
    <row r="1159" spans="1:16" x14ac:dyDescent="0.25">
      <c r="A1159" t="s">
        <v>1100</v>
      </c>
      <c r="B1159" s="5">
        <v>47.621000000000002</v>
      </c>
      <c r="C1159" s="5">
        <v>-117.52800000000001</v>
      </c>
      <c r="D1159" s="5" t="s">
        <v>2200</v>
      </c>
      <c r="E1159" s="5">
        <v>1</v>
      </c>
      <c r="F1159" s="7">
        <v>1</v>
      </c>
      <c r="G1159">
        <v>12</v>
      </c>
      <c r="H1159" s="5">
        <f t="shared" si="38"/>
        <v>56.519999999999996</v>
      </c>
      <c r="I1159">
        <v>0</v>
      </c>
      <c r="J1159" s="5">
        <v>0</v>
      </c>
      <c r="K1159" s="5">
        <f>5/H1159</f>
        <v>8.8464260438782735E-2</v>
      </c>
      <c r="L1159" s="5">
        <f>4.5*4/2/H1159</f>
        <v>0.15923566878980894</v>
      </c>
      <c r="M1159" s="5">
        <f>4/H1159</f>
        <v>7.0771408351026188E-2</v>
      </c>
      <c r="N1159" s="5">
        <v>0</v>
      </c>
      <c r="O1159" s="5">
        <v>0</v>
      </c>
      <c r="P1159" s="5">
        <v>0</v>
      </c>
    </row>
    <row r="1160" spans="1:16" x14ac:dyDescent="0.25">
      <c r="A1160" t="s">
        <v>662</v>
      </c>
      <c r="B1160" s="5">
        <v>47.662999999999997</v>
      </c>
      <c r="C1160" s="5">
        <v>-101.43899999999999</v>
      </c>
      <c r="D1160" s="5" t="s">
        <v>2181</v>
      </c>
      <c r="E1160">
        <v>1</v>
      </c>
      <c r="F1160" s="7">
        <v>0</v>
      </c>
      <c r="G1160">
        <v>10</v>
      </c>
      <c r="H1160" s="5">
        <f t="shared" si="38"/>
        <v>39.25</v>
      </c>
      <c r="I1160">
        <v>0</v>
      </c>
      <c r="J1160">
        <v>0</v>
      </c>
      <c r="K1160">
        <v>0</v>
      </c>
      <c r="L1160">
        <v>0</v>
      </c>
      <c r="M1160" s="5">
        <f>1/H1160</f>
        <v>2.5477707006369428E-2</v>
      </c>
      <c r="N1160" s="5">
        <f>1/H1160</f>
        <v>2.5477707006369428E-2</v>
      </c>
      <c r="O1160" s="5">
        <f>0.3/H1160</f>
        <v>7.6433121019108281E-3</v>
      </c>
      <c r="P1160">
        <v>0</v>
      </c>
    </row>
    <row r="1161" spans="1:16" x14ac:dyDescent="0.25">
      <c r="A1161" t="s">
        <v>1103</v>
      </c>
      <c r="B1161" s="5">
        <v>47.683</v>
      </c>
      <c r="C1161" s="5">
        <v>-117.321</v>
      </c>
      <c r="D1161" s="5" t="s">
        <v>2203</v>
      </c>
      <c r="E1161">
        <v>1</v>
      </c>
      <c r="F1161" s="7">
        <v>1</v>
      </c>
      <c r="G1161">
        <v>11.5</v>
      </c>
      <c r="H1161" s="5">
        <f t="shared" si="38"/>
        <v>51.908124999999998</v>
      </c>
      <c r="I1161">
        <f>4.5*5.5/2/H1161</f>
        <v>0.23840198427510145</v>
      </c>
      <c r="J1161">
        <f>3/H1161</f>
        <v>5.7794420430327627E-2</v>
      </c>
      <c r="K1161">
        <v>0</v>
      </c>
      <c r="L1161">
        <f>0.6/H1161</f>
        <v>1.1558884086065525E-2</v>
      </c>
      <c r="M1161">
        <v>0</v>
      </c>
      <c r="N1161">
        <f>0.3/H1161</f>
        <v>5.7794420430327623E-3</v>
      </c>
      <c r="O1161">
        <f>1.5/H1161</f>
        <v>2.8897210215163813E-2</v>
      </c>
      <c r="P1161">
        <f>4*8.5/2/H1161</f>
        <v>0.32750171577185655</v>
      </c>
    </row>
    <row r="1162" spans="1:16" x14ac:dyDescent="0.25">
      <c r="A1162" t="s">
        <v>1117</v>
      </c>
      <c r="B1162" s="5">
        <v>47.908000000000001</v>
      </c>
      <c r="C1162" s="5">
        <v>-122.28</v>
      </c>
      <c r="D1162" s="5" t="s">
        <v>2216</v>
      </c>
      <c r="E1162" s="5">
        <v>1</v>
      </c>
      <c r="F1162" s="7">
        <v>1</v>
      </c>
      <c r="G1162">
        <v>10</v>
      </c>
      <c r="H1162" s="5">
        <f t="shared" si="38"/>
        <v>39.25</v>
      </c>
      <c r="I1162">
        <f>2*2.5/2/H1162</f>
        <v>6.3694267515923567E-2</v>
      </c>
      <c r="J1162">
        <f>2.5/H1162</f>
        <v>6.3694267515923567E-2</v>
      </c>
      <c r="K1162">
        <f>8/H1162</f>
        <v>0.20382165605095542</v>
      </c>
      <c r="L1162">
        <f>0.4/H1162</f>
        <v>1.0191082802547772E-2</v>
      </c>
      <c r="M1162">
        <v>0</v>
      </c>
      <c r="N1162">
        <v>0</v>
      </c>
      <c r="O1162">
        <v>0</v>
      </c>
      <c r="P1162">
        <f>7.5*5/2/H1162</f>
        <v>0.47770700636942676</v>
      </c>
    </row>
    <row r="1163" spans="1:16" x14ac:dyDescent="0.25">
      <c r="A1163" t="s">
        <v>653</v>
      </c>
      <c r="B1163" s="1">
        <v>47.933</v>
      </c>
      <c r="C1163" s="1">
        <v>-97.167000000000002</v>
      </c>
      <c r="D1163" s="1" t="s">
        <v>2174</v>
      </c>
      <c r="E1163" s="5">
        <v>1</v>
      </c>
      <c r="F1163" s="7">
        <v>1</v>
      </c>
      <c r="G1163">
        <v>11</v>
      </c>
      <c r="H1163" s="5">
        <f t="shared" si="38"/>
        <v>47.4925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x14ac:dyDescent="0.25">
      <c r="A1164" t="s">
        <v>1120</v>
      </c>
      <c r="B1164" s="5">
        <v>47.933999999999997</v>
      </c>
      <c r="C1164" s="5">
        <v>-124.56100000000001</v>
      </c>
      <c r="D1164" s="5" t="s">
        <v>2219</v>
      </c>
      <c r="E1164" s="5">
        <v>1</v>
      </c>
      <c r="F1164" s="7">
        <v>1</v>
      </c>
      <c r="G1164">
        <f>20.3/2</f>
        <v>10.15</v>
      </c>
      <c r="H1164" s="5">
        <f t="shared" si="38"/>
        <v>40.436331250000002</v>
      </c>
      <c r="I1164">
        <v>0</v>
      </c>
      <c r="J1164">
        <f>0.3/H1164</f>
        <v>7.4190706902966122E-3</v>
      </c>
      <c r="K1164">
        <f>4/H1164</f>
        <v>9.892094253728817E-2</v>
      </c>
      <c r="L1164">
        <f>3*7/2/H1164</f>
        <v>0.25966747416038144</v>
      </c>
      <c r="M1164">
        <f>3*7/2/H1164</f>
        <v>0.25966747416038144</v>
      </c>
      <c r="N1164">
        <f>1.5/H1164</f>
        <v>3.7095353451483064E-2</v>
      </c>
      <c r="O1164">
        <v>0</v>
      </c>
      <c r="P1164">
        <f>0.5/H1164</f>
        <v>1.2365117817161021E-2</v>
      </c>
    </row>
    <row r="1165" spans="1:16" x14ac:dyDescent="0.25">
      <c r="A1165" t="s">
        <v>656</v>
      </c>
      <c r="B1165" s="1">
        <v>47.948999999999998</v>
      </c>
      <c r="C1165" s="1">
        <v>-97.176000000000002</v>
      </c>
      <c r="D1165" s="1" t="s">
        <v>2174</v>
      </c>
      <c r="E1165" s="5">
        <v>1</v>
      </c>
      <c r="F1165" s="7">
        <v>1</v>
      </c>
      <c r="G1165">
        <v>11</v>
      </c>
      <c r="H1165" s="5">
        <f t="shared" si="38"/>
        <v>47.4925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</row>
    <row r="1166" spans="1:16" x14ac:dyDescent="0.25">
      <c r="A1166" t="s">
        <v>655</v>
      </c>
      <c r="B1166" s="5">
        <v>47.960999999999999</v>
      </c>
      <c r="C1166" s="5">
        <v>-97.400999999999996</v>
      </c>
      <c r="D1166" s="5" t="s">
        <v>2175</v>
      </c>
      <c r="E1166" s="5">
        <v>1</v>
      </c>
      <c r="F1166" s="7">
        <v>0</v>
      </c>
      <c r="G1166" s="5">
        <f>20.5/2</f>
        <v>10.25</v>
      </c>
      <c r="H1166" s="5">
        <f t="shared" si="38"/>
        <v>41.237031250000001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</row>
    <row r="1167" spans="1:16" x14ac:dyDescent="0.25">
      <c r="A1167" t="s">
        <v>1105</v>
      </c>
      <c r="B1167" s="1">
        <v>47.966999999999999</v>
      </c>
      <c r="C1167" s="1">
        <v>-117.417</v>
      </c>
      <c r="D1167" s="1" t="s">
        <v>2201</v>
      </c>
      <c r="E1167">
        <v>1</v>
      </c>
      <c r="F1167" s="7">
        <v>1</v>
      </c>
      <c r="G1167">
        <f>23/2</f>
        <v>11.5</v>
      </c>
      <c r="H1167" s="5">
        <f t="shared" si="38"/>
        <v>51.908124999999998</v>
      </c>
      <c r="I1167">
        <v>0</v>
      </c>
      <c r="J1167">
        <v>0</v>
      </c>
      <c r="K1167">
        <f>3.5*4/H1167</f>
        <v>0.26970729534152893</v>
      </c>
      <c r="L1167">
        <f>3/H1167</f>
        <v>5.7794420430327627E-2</v>
      </c>
      <c r="M1167">
        <v>0</v>
      </c>
      <c r="N1167">
        <v>0</v>
      </c>
      <c r="O1167">
        <f>1.5/H1167</f>
        <v>2.8897210215163813E-2</v>
      </c>
      <c r="P1167">
        <v>0</v>
      </c>
    </row>
    <row r="1168" spans="1:16" x14ac:dyDescent="0.25">
      <c r="A1168" t="s">
        <v>1101</v>
      </c>
      <c r="B1168" s="1">
        <v>47.969000000000001</v>
      </c>
      <c r="C1168" s="1">
        <v>-117.42100000000001</v>
      </c>
      <c r="D1168" s="1" t="s">
        <v>2201</v>
      </c>
      <c r="E1168">
        <v>1</v>
      </c>
      <c r="F1168" s="7">
        <v>1</v>
      </c>
      <c r="G1168">
        <f>23/2</f>
        <v>11.5</v>
      </c>
      <c r="H1168" s="5">
        <f t="shared" si="38"/>
        <v>51.908124999999998</v>
      </c>
      <c r="I1168">
        <v>0</v>
      </c>
      <c r="J1168">
        <v>0</v>
      </c>
      <c r="K1168">
        <f>3.5*4/H1168</f>
        <v>0.26970729534152893</v>
      </c>
      <c r="L1168">
        <f>3/H1168</f>
        <v>5.7794420430327627E-2</v>
      </c>
      <c r="M1168">
        <v>0</v>
      </c>
      <c r="N1168">
        <v>0</v>
      </c>
      <c r="O1168">
        <f>1.5/H1168</f>
        <v>2.8897210215163813E-2</v>
      </c>
      <c r="P1168">
        <v>0</v>
      </c>
    </row>
    <row r="1169" spans="1:16" x14ac:dyDescent="0.25">
      <c r="A1169" t="s">
        <v>612</v>
      </c>
      <c r="B1169" s="5">
        <v>48.094000000000001</v>
      </c>
      <c r="C1169" s="5">
        <v>-105.574</v>
      </c>
      <c r="D1169" s="5" t="s">
        <v>2184</v>
      </c>
      <c r="E1169">
        <v>1</v>
      </c>
      <c r="F1169" s="7">
        <v>1</v>
      </c>
      <c r="G1169">
        <f>25.4/2</f>
        <v>12.7</v>
      </c>
      <c r="H1169" s="5">
        <f t="shared" si="38"/>
        <v>63.306324999999994</v>
      </c>
      <c r="I1169">
        <v>0</v>
      </c>
      <c r="J1169">
        <f>3/H1169</f>
        <v>4.7388629809106755E-2</v>
      </c>
      <c r="K1169">
        <f>0.5/H1169</f>
        <v>7.8981049681844592E-3</v>
      </c>
      <c r="L1169">
        <f>4.5/H1169</f>
        <v>7.108294471366014E-2</v>
      </c>
      <c r="M1169">
        <f>3/H1169</f>
        <v>4.7388629809106755E-2</v>
      </c>
      <c r="N1169">
        <f>4/H1169</f>
        <v>6.3184839745475674E-2</v>
      </c>
      <c r="O1169">
        <v>0</v>
      </c>
      <c r="P1169">
        <v>0</v>
      </c>
    </row>
    <row r="1170" spans="1:16" x14ac:dyDescent="0.25">
      <c r="A1170" t="s">
        <v>654</v>
      </c>
      <c r="B1170" s="5">
        <v>48.116999999999997</v>
      </c>
      <c r="C1170" s="5">
        <v>-98.9</v>
      </c>
      <c r="D1170" s="5" t="s">
        <v>2324</v>
      </c>
      <c r="E1170">
        <v>1</v>
      </c>
      <c r="F1170" s="7">
        <v>0</v>
      </c>
      <c r="G1170">
        <v>10</v>
      </c>
      <c r="H1170" s="5">
        <f t="shared" si="38"/>
        <v>39.25</v>
      </c>
      <c r="I1170">
        <v>0</v>
      </c>
      <c r="J1170">
        <v>0</v>
      </c>
      <c r="K1170">
        <v>0</v>
      </c>
      <c r="L1170">
        <v>0</v>
      </c>
      <c r="M1170">
        <f>1/H1170</f>
        <v>2.5477707006369428E-2</v>
      </c>
      <c r="N1170">
        <v>0</v>
      </c>
      <c r="O1170" s="5">
        <v>0</v>
      </c>
      <c r="P1170" s="5">
        <v>0</v>
      </c>
    </row>
    <row r="1171" spans="1:16" x14ac:dyDescent="0.25">
      <c r="A1171" t="s">
        <v>1107</v>
      </c>
      <c r="B1171">
        <v>48.12</v>
      </c>
      <c r="C1171">
        <v>-123.498</v>
      </c>
      <c r="D1171" t="s">
        <v>2206</v>
      </c>
      <c r="E1171">
        <v>1</v>
      </c>
      <c r="F1171" s="7">
        <v>1</v>
      </c>
      <c r="G1171">
        <v>12</v>
      </c>
      <c r="H1171" s="5">
        <f t="shared" si="38"/>
        <v>56.519999999999996</v>
      </c>
      <c r="I1171">
        <f>5*5.5/2/H1171</f>
        <v>0.24327671620665253</v>
      </c>
      <c r="J1171">
        <f>4*5/H1171</f>
        <v>0.35385704175513094</v>
      </c>
      <c r="K1171">
        <v>0</v>
      </c>
      <c r="L1171" s="5">
        <v>0</v>
      </c>
      <c r="M1171" s="5">
        <f>11*5/2/H1171</f>
        <v>0.48655343241330506</v>
      </c>
      <c r="N1171" s="5">
        <f>2*3.5/H1171</f>
        <v>0.12384996461429583</v>
      </c>
      <c r="O1171" s="5">
        <v>0</v>
      </c>
      <c r="P1171" s="5">
        <f>3.5/H1171</f>
        <v>6.1924982307147915E-2</v>
      </c>
    </row>
    <row r="1172" spans="1:16" x14ac:dyDescent="0.25">
      <c r="A1172" t="s">
        <v>659</v>
      </c>
      <c r="B1172" s="5">
        <v>48.195</v>
      </c>
      <c r="C1172" s="5">
        <v>-103.642</v>
      </c>
      <c r="D1172" t="s">
        <v>2178</v>
      </c>
      <c r="E1172">
        <v>1</v>
      </c>
      <c r="F1172" s="7">
        <v>1</v>
      </c>
      <c r="G1172">
        <f>21/2</f>
        <v>10.5</v>
      </c>
      <c r="H1172" s="5">
        <f t="shared" si="38"/>
        <v>43.273125</v>
      </c>
      <c r="I1172">
        <v>0</v>
      </c>
      <c r="J1172">
        <v>0</v>
      </c>
      <c r="K1172" s="5">
        <v>0</v>
      </c>
      <c r="L1172" s="5">
        <f>5.5*3/2/H1172</f>
        <v>0.19064950821092769</v>
      </c>
      <c r="M1172" s="5">
        <f>8.8*3.5/2/H1172</f>
        <v>0.35587908199373175</v>
      </c>
      <c r="N1172" s="5">
        <v>0</v>
      </c>
      <c r="O1172" s="5">
        <v>0</v>
      </c>
      <c r="P1172" s="5">
        <v>0</v>
      </c>
    </row>
    <row r="1173" spans="1:16" x14ac:dyDescent="0.25">
      <c r="A1173" t="s">
        <v>610</v>
      </c>
      <c r="B1173">
        <v>48.213999999999999</v>
      </c>
      <c r="C1173">
        <v>-106.621</v>
      </c>
      <c r="D1173" t="s">
        <v>2182</v>
      </c>
      <c r="E1173" s="5">
        <v>1</v>
      </c>
      <c r="F1173" s="7">
        <v>1</v>
      </c>
      <c r="G1173">
        <f>19.4/2</f>
        <v>9.6999999999999993</v>
      </c>
      <c r="H1173" s="5">
        <f t="shared" si="38"/>
        <v>36.930324999999996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</row>
    <row r="1174" spans="1:16" x14ac:dyDescent="0.25">
      <c r="A1174" t="s">
        <v>661</v>
      </c>
      <c r="B1174" s="5">
        <v>48.259</v>
      </c>
      <c r="C1174" s="5">
        <v>-101.28100000000001</v>
      </c>
      <c r="D1174" s="5" t="s">
        <v>2180</v>
      </c>
      <c r="E1174">
        <v>1</v>
      </c>
      <c r="F1174" s="7">
        <v>0</v>
      </c>
      <c r="G1174">
        <v>11</v>
      </c>
      <c r="H1174" s="5">
        <f t="shared" si="38"/>
        <v>47.4925</v>
      </c>
      <c r="I1174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</row>
    <row r="1175" spans="1:16" x14ac:dyDescent="0.25">
      <c r="A1175" t="s">
        <v>617</v>
      </c>
      <c r="B1175" s="5">
        <v>48.304000000000002</v>
      </c>
      <c r="C1175" s="5">
        <v>-114.264</v>
      </c>
      <c r="D1175" s="5" t="s">
        <v>2189</v>
      </c>
      <c r="E1175" s="5">
        <v>1</v>
      </c>
      <c r="F1175" s="7">
        <v>0</v>
      </c>
      <c r="G1175">
        <f>22.4/2</f>
        <v>11.2</v>
      </c>
      <c r="H1175" s="5">
        <f t="shared" si="38"/>
        <v>49.235199999999999</v>
      </c>
      <c r="I1175">
        <v>0</v>
      </c>
      <c r="J1175" s="5">
        <v>0</v>
      </c>
      <c r="K1175" s="5">
        <f>4.3/H1175</f>
        <v>8.733588976992071E-2</v>
      </c>
      <c r="L1175" s="5">
        <f>2/H1175</f>
        <v>4.0621344079032888E-2</v>
      </c>
      <c r="M1175" s="5">
        <v>0</v>
      </c>
      <c r="N1175" s="5">
        <v>0</v>
      </c>
      <c r="O1175" s="5">
        <f>2.5*7/2/H1175</f>
        <v>0.17771838034576889</v>
      </c>
      <c r="P1175" s="5">
        <f>1/H1175</f>
        <v>2.0310672039516444E-2</v>
      </c>
    </row>
    <row r="1176" spans="1:16" x14ac:dyDescent="0.25">
      <c r="A1176" t="s">
        <v>1091</v>
      </c>
      <c r="B1176" s="1">
        <v>48.35</v>
      </c>
      <c r="C1176" s="1">
        <v>-122.65</v>
      </c>
      <c r="D1176" s="1" t="s">
        <v>1195</v>
      </c>
      <c r="E1176">
        <v>1</v>
      </c>
      <c r="F1176" s="7">
        <v>1</v>
      </c>
      <c r="G1176">
        <v>11</v>
      </c>
      <c r="H1176" s="5">
        <f t="shared" si="38"/>
        <v>47.4925</v>
      </c>
      <c r="I1176">
        <f>10.5*5/2/H1176</f>
        <v>0.55271885034479129</v>
      </c>
      <c r="J1176">
        <v>0</v>
      </c>
      <c r="K1176">
        <v>0</v>
      </c>
      <c r="L1176">
        <v>0</v>
      </c>
      <c r="M1176">
        <f>3.3/H1176</f>
        <v>6.9484655471916609E-2</v>
      </c>
      <c r="N1176">
        <f>3.5/H1176</f>
        <v>7.3695846712638832E-2</v>
      </c>
      <c r="O1176">
        <f>4/H1176</f>
        <v>8.422382481444439E-2</v>
      </c>
      <c r="P1176">
        <f>4*4/2/H1176</f>
        <v>0.16844764962888878</v>
      </c>
    </row>
    <row r="1177" spans="1:16" x14ac:dyDescent="0.25">
      <c r="A1177" t="s">
        <v>1121</v>
      </c>
      <c r="B1177" s="1">
        <v>48.35</v>
      </c>
      <c r="C1177" s="1">
        <v>-122.65</v>
      </c>
      <c r="D1177" s="1" t="s">
        <v>1195</v>
      </c>
      <c r="E1177" s="5">
        <v>1</v>
      </c>
      <c r="F1177" s="7">
        <v>1</v>
      </c>
      <c r="G1177">
        <v>11</v>
      </c>
      <c r="H1177" s="5">
        <f t="shared" si="38"/>
        <v>47.4925</v>
      </c>
      <c r="I1177">
        <f>10.5*5/2/H1177</f>
        <v>0.55271885034479129</v>
      </c>
      <c r="J1177">
        <v>0</v>
      </c>
      <c r="K1177">
        <v>0</v>
      </c>
      <c r="L1177">
        <v>0</v>
      </c>
      <c r="M1177">
        <f>3.3/H1177</f>
        <v>6.9484655471916609E-2</v>
      </c>
      <c r="N1177">
        <f>3.5/H1177</f>
        <v>7.3695846712638832E-2</v>
      </c>
      <c r="O1177">
        <f>4/H1177</f>
        <v>8.422382481444439E-2</v>
      </c>
      <c r="P1177">
        <f>4*4/2/H1177</f>
        <v>0.16844764962888878</v>
      </c>
    </row>
    <row r="1178" spans="1:16" x14ac:dyDescent="0.25">
      <c r="A1178" t="s">
        <v>660</v>
      </c>
      <c r="B1178">
        <v>48.432000000000002</v>
      </c>
      <c r="C1178">
        <v>-101.358</v>
      </c>
      <c r="D1178" s="5" t="s">
        <v>2179</v>
      </c>
      <c r="E1178">
        <v>1</v>
      </c>
      <c r="F1178" s="7">
        <v>0</v>
      </c>
      <c r="G1178">
        <v>12.5</v>
      </c>
      <c r="H1178" s="5">
        <f t="shared" si="38"/>
        <v>61.328125</v>
      </c>
      <c r="I1178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0</v>
      </c>
      <c r="O1178" s="5">
        <v>0</v>
      </c>
      <c r="P1178" s="5">
        <v>0</v>
      </c>
    </row>
    <row r="1179" spans="1:16" x14ac:dyDescent="0.25">
      <c r="A1179" t="s">
        <v>1108</v>
      </c>
      <c r="B1179" s="5">
        <v>48.463999999999999</v>
      </c>
      <c r="C1179" s="5">
        <v>-119.517</v>
      </c>
      <c r="D1179" s="5" t="s">
        <v>2207</v>
      </c>
      <c r="E1179" s="5">
        <v>1</v>
      </c>
      <c r="F1179" s="7">
        <v>0</v>
      </c>
      <c r="G1179">
        <f>23.5/2</f>
        <v>11.75</v>
      </c>
      <c r="H1179" s="5">
        <f t="shared" si="38"/>
        <v>54.189531250000002</v>
      </c>
      <c r="I1179">
        <v>0</v>
      </c>
      <c r="J1179">
        <v>0</v>
      </c>
      <c r="K1179">
        <v>0</v>
      </c>
      <c r="L1179">
        <f>2.5/H1179</f>
        <v>4.6134372125612361E-2</v>
      </c>
      <c r="M1179">
        <f>1/H1179</f>
        <v>1.8453748850244943E-2</v>
      </c>
      <c r="N1179">
        <v>0</v>
      </c>
      <c r="O1179">
        <v>0</v>
      </c>
      <c r="P1179">
        <v>0</v>
      </c>
    </row>
    <row r="1180" spans="1:16" x14ac:dyDescent="0.25">
      <c r="A1180" t="s">
        <v>1123</v>
      </c>
      <c r="B1180" s="5">
        <v>48.521999999999998</v>
      </c>
      <c r="C1180" s="5">
        <v>-123.023</v>
      </c>
      <c r="D1180" t="s">
        <v>2221</v>
      </c>
      <c r="E1180" s="5">
        <v>1</v>
      </c>
      <c r="F1180" s="7">
        <v>1</v>
      </c>
      <c r="G1180">
        <v>10</v>
      </c>
      <c r="H1180" s="5">
        <f t="shared" si="38"/>
        <v>39.25</v>
      </c>
      <c r="I1180">
        <f>3*7.5/2/H1180</f>
        <v>0.28662420382165604</v>
      </c>
      <c r="J1180">
        <f>3*3.4/2/H1180</f>
        <v>0.12993630573248408</v>
      </c>
      <c r="K1180">
        <f>2.5/H1180</f>
        <v>6.3694267515923567E-2</v>
      </c>
      <c r="L1180">
        <f>2/H1180</f>
        <v>5.0955414012738856E-2</v>
      </c>
      <c r="M1180">
        <f>5*6/2/H1180</f>
        <v>0.38216560509554143</v>
      </c>
      <c r="N1180">
        <f>3*6/2/H1180</f>
        <v>0.22929936305732485</v>
      </c>
      <c r="O1180">
        <f>(H1180-3.5*4/2)/H1180</f>
        <v>0.82165605095541405</v>
      </c>
      <c r="P1180">
        <f>(H1180-3.5*4/2)/H1180</f>
        <v>0.82165605095541405</v>
      </c>
    </row>
    <row r="1181" spans="1:16" x14ac:dyDescent="0.25">
      <c r="A1181" t="s">
        <v>561</v>
      </c>
      <c r="B1181" s="5">
        <v>48.566000000000003</v>
      </c>
      <c r="C1181" s="5">
        <v>-93.403000000000006</v>
      </c>
      <c r="D1181" s="5" t="s">
        <v>2169</v>
      </c>
      <c r="E1181" s="5">
        <v>1</v>
      </c>
      <c r="F1181" s="7">
        <v>0</v>
      </c>
      <c r="G1181">
        <v>10</v>
      </c>
      <c r="H1181" s="5">
        <f t="shared" si="38"/>
        <v>39.25</v>
      </c>
      <c r="I1181">
        <f>6*4/2/H1181</f>
        <v>0.30573248407643311</v>
      </c>
      <c r="J1181">
        <f>0.4/H1181</f>
        <v>1.0191082802547772E-2</v>
      </c>
      <c r="K1181">
        <f>1/H1181</f>
        <v>2.5477707006369428E-2</v>
      </c>
      <c r="L1181">
        <v>0</v>
      </c>
      <c r="M1181">
        <v>0</v>
      </c>
      <c r="N1181">
        <f>3.5/H1181</f>
        <v>8.9171974522292988E-2</v>
      </c>
      <c r="O1181">
        <f>3*7/2/H1181</f>
        <v>0.26751592356687898</v>
      </c>
      <c r="P1181">
        <f>2*1.5/H1181</f>
        <v>7.6433121019108277E-2</v>
      </c>
    </row>
    <row r="1182" spans="1:16" x14ac:dyDescent="0.25">
      <c r="A1182" t="s">
        <v>618</v>
      </c>
      <c r="B1182" s="5">
        <v>48.607999999999997</v>
      </c>
      <c r="C1182" s="5">
        <v>-112.376</v>
      </c>
      <c r="D1182" s="5" t="s">
        <v>2190</v>
      </c>
      <c r="E1182" s="5">
        <v>1</v>
      </c>
      <c r="F1182" s="7">
        <v>1</v>
      </c>
      <c r="G1182">
        <f>25.5/2</f>
        <v>12.75</v>
      </c>
      <c r="H1182" s="5">
        <f>3.14*G1182*G1182/8</f>
        <v>63.805781250000003</v>
      </c>
      <c r="I1182">
        <f>2*2/H1182</f>
        <v>6.2690244075649493E-2</v>
      </c>
      <c r="J1182">
        <v>0</v>
      </c>
      <c r="K1182">
        <v>0</v>
      </c>
      <c r="L1182">
        <v>0</v>
      </c>
      <c r="M1182">
        <f>2/H1182</f>
        <v>3.1345122037824746E-2</v>
      </c>
      <c r="N1182">
        <f>2/H1182</f>
        <v>3.1345122037824746E-2</v>
      </c>
      <c r="O1182">
        <f>1.5/H1182</f>
        <v>2.350884152836856E-2</v>
      </c>
      <c r="P1182">
        <f>1.8/H1182</f>
        <v>2.821060983404227E-2</v>
      </c>
    </row>
    <row r="1183" spans="1:16" x14ac:dyDescent="0.25">
      <c r="A1183" t="s">
        <v>562</v>
      </c>
      <c r="B1183" s="5">
        <v>48.728000000000002</v>
      </c>
      <c r="C1183" s="5">
        <v>-94.61</v>
      </c>
      <c r="D1183" t="s">
        <v>2170</v>
      </c>
      <c r="E1183">
        <v>1</v>
      </c>
      <c r="F1183" s="7">
        <v>1</v>
      </c>
      <c r="G1183">
        <v>12</v>
      </c>
      <c r="H1183" s="5">
        <f>3.14*G1183*G1183/8</f>
        <v>56.519999999999996</v>
      </c>
      <c r="I1183">
        <f>5*0.5/H1183</f>
        <v>4.4232130219391368E-2</v>
      </c>
      <c r="J1183">
        <f>9*0.8/H1183</f>
        <v>0.12738853503184713</v>
      </c>
      <c r="K1183">
        <f>0.5/H1183</f>
        <v>8.8464260438782735E-3</v>
      </c>
      <c r="L1183">
        <f>3*2.5/H1183</f>
        <v>0.1326963906581741</v>
      </c>
      <c r="M1183">
        <f>1.5/H1183</f>
        <v>2.6539278131634821E-2</v>
      </c>
      <c r="N1183">
        <v>0</v>
      </c>
      <c r="O1183">
        <f>3*9.5/2/H1183</f>
        <v>0.25212314225053079</v>
      </c>
      <c r="P1183">
        <f>9.5*3.5/2/H1183</f>
        <v>0.29414366595895258</v>
      </c>
    </row>
    <row r="1184" spans="1:16" x14ac:dyDescent="0.25">
      <c r="A1184" t="s">
        <v>1122</v>
      </c>
      <c r="B1184" s="5">
        <v>48.793999999999997</v>
      </c>
      <c r="C1184" s="5">
        <v>-122.53700000000001</v>
      </c>
      <c r="D1184" t="s">
        <v>2220</v>
      </c>
      <c r="E1184">
        <v>1</v>
      </c>
      <c r="F1184" s="7">
        <v>0</v>
      </c>
      <c r="G1184">
        <f>20.5/2</f>
        <v>10.25</v>
      </c>
      <c r="H1184" s="5">
        <f>3.14*G1184*G1184/8</f>
        <v>41.237031250000001</v>
      </c>
      <c r="I1184">
        <v>0</v>
      </c>
      <c r="J1184">
        <f>2/H1184</f>
        <v>4.8500096621286237E-2</v>
      </c>
      <c r="K1184">
        <f>2.5/H1184</f>
        <v>6.0625120776607797E-2</v>
      </c>
      <c r="L1184">
        <f>4/H1184</f>
        <v>9.7000193242572474E-2</v>
      </c>
      <c r="M1184">
        <v>0</v>
      </c>
      <c r="N1184">
        <f>3.5*5.5/2/H1184</f>
        <v>0.23340671498994001</v>
      </c>
      <c r="O1184">
        <f>(H1184-7.5*3/2)/H1184</f>
        <v>0.72718695650526488</v>
      </c>
      <c r="P1184">
        <f>5*6/2/H1184</f>
        <v>0.36375072465964675</v>
      </c>
    </row>
    <row r="1185" spans="5:5" x14ac:dyDescent="0.25">
      <c r="E1185">
        <f>SUM(E2:E1184)</f>
        <v>1122</v>
      </c>
    </row>
    <row r="1186" spans="5:5" x14ac:dyDescent="0.25">
      <c r="E1186">
        <f>1183-E1185</f>
        <v>61</v>
      </c>
    </row>
    <row r="1187" spans="5:5" x14ac:dyDescent="0.25">
      <c r="E1187" s="6">
        <f>E1185/1183</f>
        <v>0.94843617920541001</v>
      </c>
    </row>
  </sheetData>
  <sortState ref="A64:U1184">
    <sortCondition ref="B2:B1184"/>
    <sortCondition ref="C2:C118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Lombardo</dc:creator>
  <cp:lastModifiedBy>Frank Lombardo</cp:lastModifiedBy>
  <cp:lastPrinted>2011-11-08T18:35:30Z</cp:lastPrinted>
  <dcterms:created xsi:type="dcterms:W3CDTF">2011-10-24T13:37:18Z</dcterms:created>
  <dcterms:modified xsi:type="dcterms:W3CDTF">2012-02-15T23:44:44Z</dcterms:modified>
</cp:coreProperties>
</file>